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backup\D\_work\010_Job\SuperStream\020_プロジェクト\010_HRPR出荷関連\10_定期出荷\2.80.0_20250601\99_ドキュメント\94_DB容量計算シート\"/>
    </mc:Choice>
  </mc:AlternateContent>
  <xr:revisionPtr revIDLastSave="0" documentId="13_ncr:1_{887D63B1-BAA7-4BC4-AAEF-203B5F303DD9}" xr6:coauthVersionLast="47" xr6:coauthVersionMax="47" xr10:uidLastSave="{00000000-0000-0000-0000-000000000000}"/>
  <bookViews>
    <workbookView xWindow="28680" yWindow="-105" windowWidth="29040" windowHeight="15720" tabRatio="409" xr2:uid="{00000000-000D-0000-FFFF-FFFF00000000}"/>
  </bookViews>
  <sheets>
    <sheet name="人事給与共通" sheetId="8" r:id="rId1"/>
    <sheet name="NXPR" sheetId="2" r:id="rId2"/>
    <sheet name="NXHR" sheetId="11" r:id="rId3"/>
    <sheet name="退職金" sheetId="10" r:id="rId4"/>
    <sheet name="TOTAL" sheetId="6" r:id="rId5"/>
  </sheets>
  <definedNames>
    <definedName name="_xlnm._FilterDatabase" localSheetId="1" hidden="1">NXPR!$A$71:$G$71</definedName>
    <definedName name="_xlnm._FilterDatabase" localSheetId="3" hidden="1">退職金!#REF!</definedName>
    <definedName name="pn_tb_size">#REF!</definedName>
    <definedName name="_xlnm.Print_Area" localSheetId="1">NXPR!$A$1:$S$85</definedName>
    <definedName name="_xlnm.Print_Area" localSheetId="4">TOTAL!$A$1:$H$27</definedName>
    <definedName name="_xlnm.Print_Area" localSheetId="0">人事給与共通!$A$1:$F$31</definedName>
    <definedName name="_xlnm.Print_Area" localSheetId="3">退職金!$A$1:$F$26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0" l="1"/>
  <c r="P102" i="11"/>
  <c r="O102" i="11"/>
  <c r="P74" i="2"/>
  <c r="O74" i="2"/>
  <c r="P32" i="8"/>
  <c r="O32" i="8"/>
  <c r="M26" i="8"/>
  <c r="K26" i="8"/>
  <c r="O98" i="11"/>
  <c r="O97" i="11"/>
  <c r="O96" i="11"/>
  <c r="O95" i="11"/>
  <c r="O94" i="11"/>
  <c r="O93" i="11"/>
  <c r="O92" i="11"/>
  <c r="O91" i="11"/>
  <c r="O90" i="11"/>
  <c r="O89" i="11"/>
  <c r="O87" i="11"/>
  <c r="O86" i="11"/>
  <c r="O83" i="11"/>
  <c r="O81" i="11"/>
  <c r="O78" i="11"/>
  <c r="O77" i="11"/>
  <c r="O76" i="11"/>
  <c r="O75" i="11"/>
  <c r="O74" i="11"/>
  <c r="O73" i="11"/>
  <c r="O70" i="11"/>
  <c r="O69" i="11"/>
  <c r="O68" i="11"/>
  <c r="O67" i="11"/>
  <c r="O66" i="11"/>
  <c r="O65" i="11"/>
  <c r="O63" i="11"/>
  <c r="O62" i="11"/>
  <c r="O61" i="11"/>
  <c r="O60" i="11"/>
  <c r="O59" i="11"/>
  <c r="O58" i="11"/>
  <c r="O56" i="11"/>
  <c r="O54" i="11"/>
  <c r="O53" i="11"/>
  <c r="O52" i="11"/>
  <c r="O51" i="11"/>
  <c r="O50" i="11"/>
  <c r="O47" i="11"/>
  <c r="O46" i="11"/>
  <c r="O44" i="11"/>
  <c r="O43" i="11"/>
  <c r="O42" i="11"/>
  <c r="O40" i="11"/>
  <c r="O39" i="11"/>
  <c r="O38" i="11"/>
  <c r="O36" i="11"/>
  <c r="O35" i="11"/>
  <c r="O34" i="11"/>
  <c r="O33" i="11"/>
  <c r="O32" i="11"/>
  <c r="O31" i="11"/>
  <c r="O27" i="11"/>
  <c r="O26" i="11"/>
  <c r="O25" i="11"/>
  <c r="O20" i="11"/>
  <c r="O17" i="11"/>
  <c r="O16" i="11"/>
  <c r="O15" i="11"/>
  <c r="O14" i="11"/>
  <c r="O5" i="11"/>
  <c r="O4" i="11"/>
  <c r="P96" i="11" l="1"/>
  <c r="P97" i="11"/>
  <c r="J210" i="11"/>
  <c r="I210" i="11"/>
  <c r="L210" i="11" s="1"/>
  <c r="N210" i="11" s="1"/>
  <c r="N97" i="11"/>
  <c r="J209" i="11"/>
  <c r="I209" i="11"/>
  <c r="P42" i="11"/>
  <c r="P67" i="11"/>
  <c r="I206" i="11"/>
  <c r="L206" i="11" s="1"/>
  <c r="N206" i="11" s="1"/>
  <c r="P94" i="11"/>
  <c r="P95" i="11"/>
  <c r="K98" i="11"/>
  <c r="K101" i="11" s="1"/>
  <c r="N96" i="11"/>
  <c r="O47" i="2"/>
  <c r="I152" i="2"/>
  <c r="I151" i="2"/>
  <c r="I150" i="2"/>
  <c r="I130" i="2"/>
  <c r="I100" i="2"/>
  <c r="L152" i="2"/>
  <c r="O69" i="2" s="1"/>
  <c r="P69" i="2" s="1"/>
  <c r="L151" i="2"/>
  <c r="O68" i="2" s="1"/>
  <c r="P68" i="2" s="1"/>
  <c r="L150" i="2"/>
  <c r="O67" i="2" s="1"/>
  <c r="P67" i="2" s="1"/>
  <c r="N152" i="2"/>
  <c r="M152" i="2"/>
  <c r="M151" i="2"/>
  <c r="L70" i="2"/>
  <c r="K70" i="2"/>
  <c r="K73" i="2" s="1"/>
  <c r="N69" i="2"/>
  <c r="J152" i="2"/>
  <c r="I133" i="2"/>
  <c r="L133" i="2" s="1"/>
  <c r="O50" i="2" s="1"/>
  <c r="J151" i="2"/>
  <c r="N68" i="2"/>
  <c r="M150" i="2"/>
  <c r="J150" i="2"/>
  <c r="N67" i="2"/>
  <c r="M5" i="2"/>
  <c r="N5" i="2" s="1"/>
  <c r="D9" i="8"/>
  <c r="K53" i="8" s="1"/>
  <c r="M53" i="8" s="1"/>
  <c r="I149" i="2"/>
  <c r="L149" i="2" s="1"/>
  <c r="O66" i="2" s="1"/>
  <c r="P66" i="2" s="1"/>
  <c r="J149" i="2"/>
  <c r="M66" i="2"/>
  <c r="M149" i="2" s="1"/>
  <c r="J89" i="2"/>
  <c r="I148" i="2"/>
  <c r="L148" i="2" s="1"/>
  <c r="O65" i="2" s="1"/>
  <c r="M65" i="2"/>
  <c r="N65" i="2" s="1"/>
  <c r="J148" i="2"/>
  <c r="I136" i="2"/>
  <c r="L136" i="2" s="1"/>
  <c r="I135" i="2"/>
  <c r="L135" i="2" s="1"/>
  <c r="O52" i="2" s="1"/>
  <c r="I134" i="2"/>
  <c r="L134" i="2" s="1"/>
  <c r="I132" i="2"/>
  <c r="L132" i="2"/>
  <c r="O49" i="2" s="1"/>
  <c r="I131" i="2"/>
  <c r="L131" i="2"/>
  <c r="O48" i="2" s="1"/>
  <c r="L130" i="2"/>
  <c r="I137" i="2"/>
  <c r="L137" i="2" s="1"/>
  <c r="M141" i="2"/>
  <c r="M140" i="2"/>
  <c r="M139" i="2"/>
  <c r="M138" i="2"/>
  <c r="M137" i="2"/>
  <c r="M136" i="2"/>
  <c r="M135" i="2"/>
  <c r="M134" i="2"/>
  <c r="M133" i="2"/>
  <c r="M132" i="2"/>
  <c r="M131" i="2"/>
  <c r="M130" i="2"/>
  <c r="M59" i="2"/>
  <c r="M142" i="2" s="1"/>
  <c r="M46" i="2"/>
  <c r="M64" i="2"/>
  <c r="N64" i="2" s="1"/>
  <c r="M147" i="2"/>
  <c r="J147" i="2"/>
  <c r="I147" i="2"/>
  <c r="L147" i="2" s="1"/>
  <c r="N147" i="2" s="1"/>
  <c r="J146" i="2"/>
  <c r="I146" i="2"/>
  <c r="L146" i="2"/>
  <c r="O62" i="2" s="1"/>
  <c r="M63" i="2"/>
  <c r="N63" i="2" s="1"/>
  <c r="M62" i="2"/>
  <c r="N62" i="2" s="1"/>
  <c r="I145" i="2"/>
  <c r="L145" i="2" s="1"/>
  <c r="M61" i="2"/>
  <c r="M144" i="2" s="1"/>
  <c r="M60" i="2"/>
  <c r="N60" i="2" s="1"/>
  <c r="J145" i="2"/>
  <c r="J144" i="2"/>
  <c r="I144" i="2"/>
  <c r="I139" i="2"/>
  <c r="L139" i="2" s="1"/>
  <c r="O57" i="2" s="1"/>
  <c r="I143" i="2"/>
  <c r="L143" i="2" s="1"/>
  <c r="O60" i="2" s="1"/>
  <c r="I142" i="2"/>
  <c r="L142" i="2" s="1"/>
  <c r="O59" i="2" s="1"/>
  <c r="I141" i="2"/>
  <c r="L141" i="2" s="1"/>
  <c r="I140" i="2"/>
  <c r="L140" i="2"/>
  <c r="O58" i="2" s="1"/>
  <c r="J143" i="2"/>
  <c r="J142" i="2"/>
  <c r="N58" i="2"/>
  <c r="M6" i="2"/>
  <c r="N6" i="2" s="1"/>
  <c r="N57" i="2"/>
  <c r="J141" i="2"/>
  <c r="J140" i="2"/>
  <c r="J139" i="2"/>
  <c r="N56" i="2"/>
  <c r="N55" i="2"/>
  <c r="I138" i="2"/>
  <c r="L138" i="2" s="1"/>
  <c r="J137" i="2"/>
  <c r="J138" i="2"/>
  <c r="J136" i="2"/>
  <c r="J135" i="2"/>
  <c r="N54" i="2"/>
  <c r="N53" i="2"/>
  <c r="J134" i="2"/>
  <c r="J133" i="2"/>
  <c r="N50" i="2"/>
  <c r="N52" i="2"/>
  <c r="N51" i="2"/>
  <c r="N49" i="2"/>
  <c r="N48" i="2"/>
  <c r="N47" i="2"/>
  <c r="J132" i="2"/>
  <c r="J131" i="2"/>
  <c r="J130" i="2"/>
  <c r="K130" i="2" s="1"/>
  <c r="I95" i="2"/>
  <c r="L95" i="2" s="1"/>
  <c r="I94" i="2"/>
  <c r="L94" i="2" s="1"/>
  <c r="O10" i="2" s="1"/>
  <c r="I92" i="2"/>
  <c r="L92" i="2" s="1"/>
  <c r="I89" i="2"/>
  <c r="L89" i="2" s="1"/>
  <c r="O5" i="2" s="1"/>
  <c r="N4" i="11"/>
  <c r="I128" i="2"/>
  <c r="L128" i="2" s="1"/>
  <c r="O44" i="2" s="1"/>
  <c r="I129" i="2"/>
  <c r="L129" i="2" s="1"/>
  <c r="I90" i="2"/>
  <c r="L90" i="2"/>
  <c r="M27" i="8"/>
  <c r="M24" i="8"/>
  <c r="N24" i="8"/>
  <c r="M28" i="8"/>
  <c r="N28" i="8"/>
  <c r="M25" i="8"/>
  <c r="M38" i="2"/>
  <c r="N38" i="2" s="1"/>
  <c r="M113" i="2"/>
  <c r="J113" i="2"/>
  <c r="I113" i="2"/>
  <c r="L113" i="2" s="1"/>
  <c r="N29" i="2"/>
  <c r="F10" i="6"/>
  <c r="F9" i="6"/>
  <c r="J208" i="11"/>
  <c r="J207" i="11"/>
  <c r="J206" i="11"/>
  <c r="J205" i="11"/>
  <c r="J204" i="11"/>
  <c r="J203" i="11"/>
  <c r="J202" i="11"/>
  <c r="J201" i="11"/>
  <c r="I201" i="11"/>
  <c r="L201" i="11" s="1"/>
  <c r="N201" i="11" s="1"/>
  <c r="J200" i="11"/>
  <c r="J199" i="11"/>
  <c r="J198" i="11"/>
  <c r="I198" i="11"/>
  <c r="L198" i="11" s="1"/>
  <c r="N198" i="11" s="1"/>
  <c r="J197" i="11"/>
  <c r="I197" i="11"/>
  <c r="L197" i="11"/>
  <c r="N197" i="11"/>
  <c r="J196" i="11"/>
  <c r="J195" i="11"/>
  <c r="I195" i="11"/>
  <c r="L195" i="11" s="1"/>
  <c r="N195" i="11" s="1"/>
  <c r="J194" i="11"/>
  <c r="J193" i="11"/>
  <c r="K193" i="11" s="1"/>
  <c r="I193" i="11"/>
  <c r="L193" i="11" s="1"/>
  <c r="N193" i="11" s="1"/>
  <c r="J192" i="11"/>
  <c r="I192" i="11"/>
  <c r="L192" i="11" s="1"/>
  <c r="N192" i="11" s="1"/>
  <c r="J191" i="11"/>
  <c r="J190" i="11"/>
  <c r="M189" i="11"/>
  <c r="J189" i="11"/>
  <c r="J188" i="11"/>
  <c r="J187" i="11"/>
  <c r="J186" i="11"/>
  <c r="J185" i="11"/>
  <c r="I185" i="11"/>
  <c r="L185" i="11" s="1"/>
  <c r="N185" i="11" s="1"/>
  <c r="J184" i="11"/>
  <c r="I184" i="11"/>
  <c r="L184" i="11"/>
  <c r="N184" i="11" s="1"/>
  <c r="J183" i="11"/>
  <c r="J182" i="11"/>
  <c r="J181" i="11"/>
  <c r="J180" i="11"/>
  <c r="J179" i="11"/>
  <c r="J178" i="11"/>
  <c r="K178" i="11" s="1"/>
  <c r="J177" i="11"/>
  <c r="I177" i="11"/>
  <c r="K177" i="11" s="1"/>
  <c r="J176" i="11"/>
  <c r="J175" i="11"/>
  <c r="J174" i="11"/>
  <c r="J173" i="11"/>
  <c r="J172" i="11"/>
  <c r="J171" i="11"/>
  <c r="J170" i="11"/>
  <c r="I170" i="11"/>
  <c r="K170" i="11" s="1"/>
  <c r="J169" i="11"/>
  <c r="J168" i="11"/>
  <c r="I168" i="11"/>
  <c r="L168" i="11" s="1"/>
  <c r="N168" i="11" s="1"/>
  <c r="J167" i="11"/>
  <c r="J166" i="11"/>
  <c r="J165" i="11"/>
  <c r="J164" i="11"/>
  <c r="J163" i="11"/>
  <c r="J162" i="11"/>
  <c r="I162" i="11"/>
  <c r="L162" i="11" s="1"/>
  <c r="N162" i="11" s="1"/>
  <c r="J161" i="11"/>
  <c r="I161" i="11"/>
  <c r="L161" i="11" s="1"/>
  <c r="N161" i="11" s="1"/>
  <c r="J160" i="11"/>
  <c r="J159" i="11"/>
  <c r="J158" i="11"/>
  <c r="I158" i="11"/>
  <c r="K158" i="11" s="1"/>
  <c r="J157" i="11"/>
  <c r="J156" i="11"/>
  <c r="J155" i="11"/>
  <c r="J154" i="11"/>
  <c r="I154" i="11"/>
  <c r="K154" i="11" s="1"/>
  <c r="L154" i="11"/>
  <c r="N154" i="11"/>
  <c r="J153" i="11"/>
  <c r="J152" i="11"/>
  <c r="J151" i="11"/>
  <c r="J150" i="11"/>
  <c r="I150" i="11"/>
  <c r="L150" i="11"/>
  <c r="N150" i="11"/>
  <c r="J149" i="11"/>
  <c r="J148" i="11"/>
  <c r="J147" i="11"/>
  <c r="J146" i="11"/>
  <c r="J145" i="11"/>
  <c r="J144" i="11"/>
  <c r="J143" i="11"/>
  <c r="I143" i="11"/>
  <c r="J142" i="11"/>
  <c r="I142" i="11"/>
  <c r="L142" i="11" s="1"/>
  <c r="N142" i="11" s="1"/>
  <c r="K142" i="11"/>
  <c r="J141" i="11"/>
  <c r="I141" i="11"/>
  <c r="L141" i="11" s="1"/>
  <c r="N141" i="11" s="1"/>
  <c r="J140" i="11"/>
  <c r="J139" i="11"/>
  <c r="J138" i="11"/>
  <c r="J137" i="11"/>
  <c r="I137" i="11"/>
  <c r="L137" i="11" s="1"/>
  <c r="N137" i="11" s="1"/>
  <c r="K137" i="11"/>
  <c r="J136" i="11"/>
  <c r="I136" i="11"/>
  <c r="L136" i="11" s="1"/>
  <c r="N136" i="11" s="1"/>
  <c r="J135" i="11"/>
  <c r="I135" i="11"/>
  <c r="J134" i="11"/>
  <c r="I134" i="11"/>
  <c r="L134" i="11"/>
  <c r="N134" i="11" s="1"/>
  <c r="J133" i="11"/>
  <c r="J132" i="11"/>
  <c r="I132" i="11"/>
  <c r="L132" i="11" s="1"/>
  <c r="N132" i="11" s="1"/>
  <c r="J131" i="11"/>
  <c r="I131" i="11"/>
  <c r="L131" i="11" s="1"/>
  <c r="N131" i="11" s="1"/>
  <c r="J130" i="11"/>
  <c r="J129" i="11"/>
  <c r="J128" i="11"/>
  <c r="J127" i="11"/>
  <c r="J126" i="11"/>
  <c r="I126" i="11"/>
  <c r="L126" i="11" s="1"/>
  <c r="N126" i="11" s="1"/>
  <c r="J125" i="11"/>
  <c r="I125" i="11"/>
  <c r="L125" i="11" s="1"/>
  <c r="N125" i="11" s="1"/>
  <c r="J124" i="11"/>
  <c r="I124" i="11"/>
  <c r="K124" i="11" s="1"/>
  <c r="J123" i="11"/>
  <c r="I123" i="11"/>
  <c r="J122" i="11"/>
  <c r="I122" i="11"/>
  <c r="K122" i="11" s="1"/>
  <c r="J121" i="11"/>
  <c r="I121" i="11"/>
  <c r="J120" i="11"/>
  <c r="I120" i="11"/>
  <c r="L120" i="11" s="1"/>
  <c r="N120" i="11" s="1"/>
  <c r="J119" i="11"/>
  <c r="I119" i="11"/>
  <c r="L119" i="11" s="1"/>
  <c r="N119" i="11" s="1"/>
  <c r="J118" i="11"/>
  <c r="J117" i="11"/>
  <c r="M100" i="11"/>
  <c r="N100" i="11" s="1"/>
  <c r="N95" i="11"/>
  <c r="N94" i="11"/>
  <c r="N93" i="11"/>
  <c r="N92" i="11"/>
  <c r="N91" i="11"/>
  <c r="N90" i="11"/>
  <c r="I202" i="11"/>
  <c r="N89" i="11"/>
  <c r="P88" i="11"/>
  <c r="N88" i="11"/>
  <c r="N87" i="11"/>
  <c r="D87" i="11"/>
  <c r="N86" i="11"/>
  <c r="D86" i="11"/>
  <c r="P85" i="11"/>
  <c r="N85" i="11"/>
  <c r="D85" i="11"/>
  <c r="P84" i="11"/>
  <c r="N84" i="11"/>
  <c r="P83" i="11"/>
  <c r="I196" i="11"/>
  <c r="L196" i="11" s="1"/>
  <c r="N196" i="11" s="1"/>
  <c r="N83" i="11"/>
  <c r="P82" i="11"/>
  <c r="N82" i="11"/>
  <c r="N81" i="11"/>
  <c r="P80" i="11"/>
  <c r="N80" i="11"/>
  <c r="P79" i="11"/>
  <c r="N79" i="11"/>
  <c r="I191" i="11"/>
  <c r="N78" i="11"/>
  <c r="N77" i="11"/>
  <c r="M76" i="11"/>
  <c r="N76" i="11" s="1"/>
  <c r="N75" i="11"/>
  <c r="I187" i="11"/>
  <c r="L187" i="11" s="1"/>
  <c r="N187" i="11" s="1"/>
  <c r="N74" i="11"/>
  <c r="P73" i="11"/>
  <c r="I186" i="11"/>
  <c r="N73" i="11"/>
  <c r="P72" i="11"/>
  <c r="N72" i="11"/>
  <c r="P71" i="11"/>
  <c r="N71" i="11"/>
  <c r="P70" i="11"/>
  <c r="I183" i="11"/>
  <c r="L183" i="11" s="1"/>
  <c r="N183" i="11" s="1"/>
  <c r="N70" i="11"/>
  <c r="N69" i="11"/>
  <c r="N68" i="11"/>
  <c r="N67" i="11"/>
  <c r="P66" i="11"/>
  <c r="N66" i="11"/>
  <c r="P65" i="11"/>
  <c r="I178" i="11"/>
  <c r="L178" i="11" s="1"/>
  <c r="N178" i="11" s="1"/>
  <c r="N65" i="11"/>
  <c r="P64" i="11"/>
  <c r="N64" i="11"/>
  <c r="P63" i="11"/>
  <c r="N63" i="11"/>
  <c r="N62" i="11"/>
  <c r="N61" i="11"/>
  <c r="P60" i="11"/>
  <c r="N60" i="11"/>
  <c r="N59" i="11"/>
  <c r="N58" i="11"/>
  <c r="P57" i="11"/>
  <c r="N57" i="11"/>
  <c r="P56" i="11"/>
  <c r="N56" i="11"/>
  <c r="P55" i="11"/>
  <c r="N55" i="11"/>
  <c r="I167" i="11"/>
  <c r="N54" i="11"/>
  <c r="N53" i="11"/>
  <c r="N52" i="11"/>
  <c r="N51" i="11"/>
  <c r="I163" i="11"/>
  <c r="N50" i="11"/>
  <c r="P49" i="11"/>
  <c r="N49" i="11"/>
  <c r="P48" i="11"/>
  <c r="N48" i="11"/>
  <c r="N47" i="11"/>
  <c r="N46" i="11"/>
  <c r="P45" i="11"/>
  <c r="N45" i="11"/>
  <c r="N44" i="11"/>
  <c r="P43" i="11"/>
  <c r="I156" i="11"/>
  <c r="N43" i="11"/>
  <c r="N42" i="11"/>
  <c r="P41" i="11"/>
  <c r="N41" i="11"/>
  <c r="P40" i="11"/>
  <c r="I153" i="11"/>
  <c r="L153" i="11"/>
  <c r="N153" i="11" s="1"/>
  <c r="N40" i="11"/>
  <c r="I152" i="11"/>
  <c r="L152" i="11" s="1"/>
  <c r="N152" i="11" s="1"/>
  <c r="P39" i="11"/>
  <c r="I151" i="11"/>
  <c r="L151" i="11" s="1"/>
  <c r="N151" i="11" s="1"/>
  <c r="P38" i="11"/>
  <c r="N38" i="11"/>
  <c r="P37" i="11"/>
  <c r="N37" i="11"/>
  <c r="I149" i="11"/>
  <c r="L149" i="11" s="1"/>
  <c r="N149" i="11" s="1"/>
  <c r="N36" i="11"/>
  <c r="I139" i="11"/>
  <c r="L139" i="11" s="1"/>
  <c r="N139" i="11" s="1"/>
  <c r="N35" i="11"/>
  <c r="P34" i="11"/>
  <c r="N34" i="11"/>
  <c r="P32" i="11"/>
  <c r="I145" i="11"/>
  <c r="L145" i="11" s="1"/>
  <c r="N145" i="11" s="1"/>
  <c r="N32" i="11"/>
  <c r="N31" i="11"/>
  <c r="P30" i="11"/>
  <c r="N30" i="11"/>
  <c r="P29" i="11"/>
  <c r="N29" i="11"/>
  <c r="P28" i="11"/>
  <c r="N28" i="11"/>
  <c r="N27" i="11"/>
  <c r="N26" i="11"/>
  <c r="P25" i="11"/>
  <c r="N25" i="11"/>
  <c r="P24" i="11"/>
  <c r="N24" i="11"/>
  <c r="P23" i="11"/>
  <c r="N23" i="11"/>
  <c r="P22" i="11"/>
  <c r="N22" i="11"/>
  <c r="P21" i="11"/>
  <c r="N21" i="11"/>
  <c r="N20" i="11"/>
  <c r="P19" i="11"/>
  <c r="N19" i="11"/>
  <c r="P18" i="11"/>
  <c r="N18" i="11"/>
  <c r="P17" i="11"/>
  <c r="N16" i="11"/>
  <c r="N15" i="11"/>
  <c r="N14" i="11"/>
  <c r="P13" i="11"/>
  <c r="N13" i="11"/>
  <c r="P12" i="11"/>
  <c r="N12" i="11"/>
  <c r="P11" i="11"/>
  <c r="N11" i="11"/>
  <c r="P10" i="11"/>
  <c r="N10" i="11"/>
  <c r="P9" i="11"/>
  <c r="N9" i="11"/>
  <c r="P8" i="11"/>
  <c r="N8" i="11"/>
  <c r="P7" i="11"/>
  <c r="N7" i="11"/>
  <c r="P6" i="11"/>
  <c r="N6" i="11"/>
  <c r="I118" i="11"/>
  <c r="L118" i="11" s="1"/>
  <c r="N118" i="11" s="1"/>
  <c r="N5" i="11"/>
  <c r="K31" i="8"/>
  <c r="M30" i="8"/>
  <c r="N30" i="8" s="1"/>
  <c r="N27" i="8"/>
  <c r="N25" i="8"/>
  <c r="M13" i="10"/>
  <c r="M12" i="10"/>
  <c r="N12" i="10"/>
  <c r="M11" i="10"/>
  <c r="N11" i="10"/>
  <c r="M10" i="10"/>
  <c r="M9" i="10"/>
  <c r="N9" i="10"/>
  <c r="M8" i="10"/>
  <c r="M7" i="10"/>
  <c r="M6" i="10"/>
  <c r="M5" i="10"/>
  <c r="M14" i="8"/>
  <c r="N14" i="8" s="1"/>
  <c r="M13" i="8"/>
  <c r="N13" i="8" s="1"/>
  <c r="M12" i="8"/>
  <c r="N12" i="8" s="1"/>
  <c r="M11" i="8"/>
  <c r="N11" i="8" s="1"/>
  <c r="M10" i="8"/>
  <c r="N10" i="8" s="1"/>
  <c r="M9" i="8"/>
  <c r="M8" i="8"/>
  <c r="M7" i="8"/>
  <c r="N7" i="8" s="1"/>
  <c r="M6" i="8"/>
  <c r="N6" i="8" s="1"/>
  <c r="M45" i="2"/>
  <c r="M129" i="2" s="1"/>
  <c r="M44" i="2"/>
  <c r="M128" i="2" s="1"/>
  <c r="M43" i="2"/>
  <c r="M127" i="2" s="1"/>
  <c r="M42" i="2"/>
  <c r="M126" i="2" s="1"/>
  <c r="M41" i="2"/>
  <c r="M125" i="2" s="1"/>
  <c r="M40" i="2"/>
  <c r="M124" i="2" s="1"/>
  <c r="M39" i="2"/>
  <c r="M123" i="2" s="1"/>
  <c r="M37" i="2"/>
  <c r="M121" i="2"/>
  <c r="M36" i="2"/>
  <c r="M120" i="2" s="1"/>
  <c r="M35" i="2"/>
  <c r="M119" i="2" s="1"/>
  <c r="M34" i="2"/>
  <c r="M118" i="2" s="1"/>
  <c r="M33" i="2"/>
  <c r="M117" i="2" s="1"/>
  <c r="M32" i="2"/>
  <c r="M116" i="2" s="1"/>
  <c r="M31" i="2"/>
  <c r="M115" i="2" s="1"/>
  <c r="M30" i="2"/>
  <c r="M114" i="2" s="1"/>
  <c r="M28" i="2"/>
  <c r="M112" i="2" s="1"/>
  <c r="M27" i="2"/>
  <c r="M111" i="2" s="1"/>
  <c r="M26" i="2"/>
  <c r="N26" i="2" s="1"/>
  <c r="M24" i="2"/>
  <c r="M108" i="2" s="1"/>
  <c r="M23" i="2"/>
  <c r="M107" i="2" s="1"/>
  <c r="M22" i="2"/>
  <c r="N22" i="2" s="1"/>
  <c r="M106" i="2"/>
  <c r="M21" i="2"/>
  <c r="N21" i="2" s="1"/>
  <c r="M20" i="2"/>
  <c r="N20" i="2" s="1"/>
  <c r="M19" i="2"/>
  <c r="M103" i="2" s="1"/>
  <c r="M18" i="2"/>
  <c r="N18" i="2" s="1"/>
  <c r="M17" i="2"/>
  <c r="M101" i="2" s="1"/>
  <c r="M16" i="2"/>
  <c r="M100" i="2" s="1"/>
  <c r="M15" i="2"/>
  <c r="M99" i="2" s="1"/>
  <c r="M14" i="2"/>
  <c r="M98" i="2" s="1"/>
  <c r="M13" i="2"/>
  <c r="M97" i="2" s="1"/>
  <c r="M12" i="2"/>
  <c r="M96" i="2" s="1"/>
  <c r="N12" i="2"/>
  <c r="M11" i="2"/>
  <c r="M95" i="2" s="1"/>
  <c r="M10" i="2"/>
  <c r="M94" i="2" s="1"/>
  <c r="M9" i="2"/>
  <c r="N9" i="2" s="1"/>
  <c r="M8" i="2"/>
  <c r="M92" i="2" s="1"/>
  <c r="M7" i="2"/>
  <c r="M91" i="2" s="1"/>
  <c r="I1" i="2"/>
  <c r="J129" i="2"/>
  <c r="J128" i="2"/>
  <c r="L127" i="2"/>
  <c r="O43" i="2" s="1"/>
  <c r="J127" i="2"/>
  <c r="K127" i="2" s="1"/>
  <c r="J126" i="2"/>
  <c r="I126" i="2"/>
  <c r="L126" i="2" s="1"/>
  <c r="O42" i="2" s="1"/>
  <c r="L125" i="2"/>
  <c r="O41" i="2" s="1"/>
  <c r="J125" i="2"/>
  <c r="K125" i="2" s="1"/>
  <c r="J124" i="2"/>
  <c r="I124" i="2"/>
  <c r="L124" i="2" s="1"/>
  <c r="L123" i="2"/>
  <c r="O39" i="2" s="1"/>
  <c r="J123" i="2"/>
  <c r="K123" i="2" s="1"/>
  <c r="J122" i="2"/>
  <c r="I122" i="2"/>
  <c r="K122" i="2" s="1"/>
  <c r="J121" i="2"/>
  <c r="I121" i="2"/>
  <c r="L121" i="2" s="1"/>
  <c r="J120" i="2"/>
  <c r="I120" i="2"/>
  <c r="J119" i="2"/>
  <c r="I119" i="2"/>
  <c r="L119" i="2" s="1"/>
  <c r="O35" i="2" s="1"/>
  <c r="J118" i="2"/>
  <c r="I118" i="2"/>
  <c r="J117" i="2"/>
  <c r="I117" i="2"/>
  <c r="L117" i="2" s="1"/>
  <c r="J116" i="2"/>
  <c r="I116" i="2"/>
  <c r="L116" i="2" s="1"/>
  <c r="L115" i="2"/>
  <c r="O31" i="2" s="1"/>
  <c r="J115" i="2"/>
  <c r="K115" i="2" s="1"/>
  <c r="J114" i="2"/>
  <c r="J112" i="2"/>
  <c r="I112" i="2"/>
  <c r="L112" i="2" s="1"/>
  <c r="J111" i="2"/>
  <c r="I111" i="2"/>
  <c r="L111" i="2" s="1"/>
  <c r="O27" i="2" s="1"/>
  <c r="J110" i="2"/>
  <c r="I110" i="2"/>
  <c r="L110" i="2" s="1"/>
  <c r="O26" i="2" s="1"/>
  <c r="P109" i="2"/>
  <c r="J109" i="2" s="1"/>
  <c r="I109" i="2"/>
  <c r="I114" i="2" s="1"/>
  <c r="P108" i="2"/>
  <c r="J108" i="2" s="1"/>
  <c r="I108" i="2"/>
  <c r="J107" i="2"/>
  <c r="I107" i="2"/>
  <c r="J106" i="2"/>
  <c r="I106" i="2"/>
  <c r="L106" i="2" s="1"/>
  <c r="J105" i="2"/>
  <c r="I105" i="2"/>
  <c r="L105" i="2"/>
  <c r="J104" i="2"/>
  <c r="I104" i="2"/>
  <c r="L104" i="2"/>
  <c r="O20" i="2" s="1"/>
  <c r="J103" i="2"/>
  <c r="I103" i="2"/>
  <c r="L103" i="2" s="1"/>
  <c r="J102" i="2"/>
  <c r="I102" i="2"/>
  <c r="L102" i="2" s="1"/>
  <c r="J101" i="2"/>
  <c r="I101" i="2"/>
  <c r="L101" i="2" s="1"/>
  <c r="J100" i="2"/>
  <c r="L100" i="2"/>
  <c r="J99" i="2"/>
  <c r="I99" i="2"/>
  <c r="L99" i="2" s="1"/>
  <c r="O15" i="2" s="1"/>
  <c r="P98" i="2"/>
  <c r="J98" i="2" s="1"/>
  <c r="I98" i="2"/>
  <c r="J97" i="2"/>
  <c r="I97" i="2"/>
  <c r="J96" i="2"/>
  <c r="I96" i="2"/>
  <c r="L96" i="2" s="1"/>
  <c r="J95" i="2"/>
  <c r="J94" i="2"/>
  <c r="J93" i="2"/>
  <c r="I93" i="2"/>
  <c r="L93" i="2" s="1"/>
  <c r="O9" i="2" s="1"/>
  <c r="J92" i="2"/>
  <c r="L91" i="2"/>
  <c r="O7" i="2" s="1"/>
  <c r="J91" i="2"/>
  <c r="K91" i="2" s="1"/>
  <c r="J90" i="2"/>
  <c r="M72" i="2"/>
  <c r="N72" i="2" s="1"/>
  <c r="N25" i="2"/>
  <c r="M109" i="2"/>
  <c r="M23" i="8"/>
  <c r="M22" i="8"/>
  <c r="N22" i="8" s="1"/>
  <c r="M21" i="8"/>
  <c r="M20" i="8"/>
  <c r="N20" i="8" s="1"/>
  <c r="M19" i="8"/>
  <c r="N19" i="8" s="1"/>
  <c r="M18" i="8"/>
  <c r="N18" i="8" s="1"/>
  <c r="M17" i="8"/>
  <c r="N17" i="8" s="1"/>
  <c r="M16" i="8"/>
  <c r="M15" i="8"/>
  <c r="O23" i="8"/>
  <c r="P23" i="8" s="1"/>
  <c r="O22" i="8"/>
  <c r="P22" i="8" s="1"/>
  <c r="O21" i="8"/>
  <c r="O20" i="8"/>
  <c r="P20" i="8"/>
  <c r="O19" i="8"/>
  <c r="O18" i="8"/>
  <c r="O17" i="8"/>
  <c r="O16" i="8"/>
  <c r="O15" i="8"/>
  <c r="P15" i="8"/>
  <c r="N16" i="8"/>
  <c r="N15" i="8"/>
  <c r="D12" i="8"/>
  <c r="D11" i="8"/>
  <c r="N23" i="8"/>
  <c r="L42" i="8"/>
  <c r="L40" i="8"/>
  <c r="O13" i="8"/>
  <c r="P13" i="8"/>
  <c r="K39" i="8"/>
  <c r="L39" i="8"/>
  <c r="N8" i="8"/>
  <c r="D10" i="8"/>
  <c r="K37" i="8" s="1"/>
  <c r="O6" i="8"/>
  <c r="U141" i="8"/>
  <c r="F8" i="6"/>
  <c r="F7" i="6"/>
  <c r="K34" i="10"/>
  <c r="K35" i="10"/>
  <c r="K36" i="10"/>
  <c r="K37" i="10"/>
  <c r="K41" i="10"/>
  <c r="K39" i="10"/>
  <c r="K40" i="10"/>
  <c r="L33" i="10"/>
  <c r="L41" i="10"/>
  <c r="L44" i="10"/>
  <c r="L35" i="10"/>
  <c r="L36" i="10"/>
  <c r="L37" i="10"/>
  <c r="L39" i="10"/>
  <c r="M41" i="10"/>
  <c r="M44" i="10"/>
  <c r="K14" i="10"/>
  <c r="K21" i="10"/>
  <c r="P5" i="10"/>
  <c r="O5" i="10"/>
  <c r="O6" i="10"/>
  <c r="P6" i="10"/>
  <c r="O7" i="10"/>
  <c r="P7" i="10"/>
  <c r="O8" i="10"/>
  <c r="Q8" i="10"/>
  <c r="O9" i="10"/>
  <c r="P9" i="10"/>
  <c r="Q9" i="10"/>
  <c r="O10" i="10"/>
  <c r="P10" i="10"/>
  <c r="O11" i="10"/>
  <c r="P11" i="10"/>
  <c r="O12" i="10"/>
  <c r="O13" i="10"/>
  <c r="N5" i="10"/>
  <c r="N7" i="10"/>
  <c r="N10" i="10"/>
  <c r="N20" i="10"/>
  <c r="O11" i="8"/>
  <c r="P11" i="8" s="1"/>
  <c r="L50" i="8"/>
  <c r="L51" i="8"/>
  <c r="L52" i="8"/>
  <c r="L47" i="8"/>
  <c r="L48" i="8"/>
  <c r="L49" i="8"/>
  <c r="L46" i="8"/>
  <c r="L45" i="8"/>
  <c r="L44" i="8"/>
  <c r="P46" i="11"/>
  <c r="I159" i="11"/>
  <c r="L159" i="11" s="1"/>
  <c r="N159" i="11" s="1"/>
  <c r="P31" i="11"/>
  <c r="I144" i="11"/>
  <c r="L144" i="11" s="1"/>
  <c r="N144" i="11" s="1"/>
  <c r="P33" i="11"/>
  <c r="I146" i="11"/>
  <c r="L146" i="11" s="1"/>
  <c r="N146" i="11" s="1"/>
  <c r="P35" i="11"/>
  <c r="P69" i="11"/>
  <c r="P74" i="11"/>
  <c r="L156" i="11"/>
  <c r="N156" i="11" s="1"/>
  <c r="K156" i="11"/>
  <c r="I155" i="11"/>
  <c r="I181" i="11"/>
  <c r="P90" i="11"/>
  <c r="I148" i="11"/>
  <c r="L148" i="11"/>
  <c r="N148" i="11" s="1"/>
  <c r="N21" i="8"/>
  <c r="P21" i="8"/>
  <c r="P13" i="10"/>
  <c r="N9" i="8"/>
  <c r="M31" i="8"/>
  <c r="Q5" i="10"/>
  <c r="O14" i="10"/>
  <c r="L35" i="8"/>
  <c r="K35" i="8"/>
  <c r="M35" i="8"/>
  <c r="P6" i="8"/>
  <c r="N8" i="10"/>
  <c r="P8" i="10"/>
  <c r="P16" i="8"/>
  <c r="Q10" i="10"/>
  <c r="T46" i="6"/>
  <c r="I45" i="6" s="1"/>
  <c r="E9" i="6" s="1"/>
  <c r="P12" i="10"/>
  <c r="Q12" i="10"/>
  <c r="Q6" i="10"/>
  <c r="N6" i="10"/>
  <c r="P17" i="8"/>
  <c r="Q7" i="10"/>
  <c r="Q13" i="10"/>
  <c r="N13" i="10"/>
  <c r="P27" i="11"/>
  <c r="P19" i="8"/>
  <c r="I208" i="11"/>
  <c r="L208" i="11" s="1"/>
  <c r="N208" i="11" s="1"/>
  <c r="P14" i="10"/>
  <c r="K44" i="10"/>
  <c r="N44" i="10"/>
  <c r="O21" i="10"/>
  <c r="N41" i="10"/>
  <c r="O20" i="10"/>
  <c r="I138" i="11"/>
  <c r="L122" i="11"/>
  <c r="N122" i="11" s="1"/>
  <c r="P18" i="8"/>
  <c r="Q11" i="10"/>
  <c r="Q14" i="10"/>
  <c r="Q15" i="10"/>
  <c r="M21" i="10"/>
  <c r="N21" i="10"/>
  <c r="Q21" i="10"/>
  <c r="O10" i="8"/>
  <c r="P10" i="8" s="1"/>
  <c r="S39" i="6"/>
  <c r="T39" i="6"/>
  <c r="P20" i="10"/>
  <c r="Q20" i="10"/>
  <c r="P21" i="10"/>
  <c r="S38" i="6"/>
  <c r="T38" i="6"/>
  <c r="T40" i="6" s="1"/>
  <c r="I39" i="6" s="1"/>
  <c r="E8" i="6" s="1"/>
  <c r="D4" i="10"/>
  <c r="D8" i="6" s="1"/>
  <c r="K210" i="11" l="1"/>
  <c r="K107" i="2"/>
  <c r="K135" i="11"/>
  <c r="P4" i="11"/>
  <c r="K138" i="11"/>
  <c r="K121" i="11"/>
  <c r="P92" i="11"/>
  <c r="P89" i="11"/>
  <c r="I205" i="11"/>
  <c r="L205" i="11" s="1"/>
  <c r="N205" i="11" s="1"/>
  <c r="P93" i="11"/>
  <c r="K123" i="11"/>
  <c r="P44" i="11"/>
  <c r="I157" i="11"/>
  <c r="L124" i="11"/>
  <c r="N124" i="11" s="1"/>
  <c r="L123" i="11"/>
  <c r="N123" i="11" s="1"/>
  <c r="P15" i="11"/>
  <c r="P36" i="11"/>
  <c r="I171" i="11"/>
  <c r="L171" i="11" s="1"/>
  <c r="N171" i="11" s="1"/>
  <c r="K143" i="11"/>
  <c r="L170" i="11"/>
  <c r="N170" i="11" s="1"/>
  <c r="K187" i="11"/>
  <c r="K168" i="11"/>
  <c r="I173" i="11"/>
  <c r="I176" i="11"/>
  <c r="L176" i="11" s="1"/>
  <c r="N176" i="11" s="1"/>
  <c r="K196" i="11"/>
  <c r="P54" i="11"/>
  <c r="I204" i="11"/>
  <c r="L138" i="11"/>
  <c r="N138" i="11" s="1"/>
  <c r="P59" i="11"/>
  <c r="P26" i="11"/>
  <c r="I180" i="11"/>
  <c r="L180" i="11" s="1"/>
  <c r="N180" i="11" s="1"/>
  <c r="K145" i="11"/>
  <c r="I128" i="11"/>
  <c r="L128" i="11" s="1"/>
  <c r="N128" i="11" s="1"/>
  <c r="L209" i="11"/>
  <c r="N209" i="11" s="1"/>
  <c r="K209" i="11"/>
  <c r="K120" i="11"/>
  <c r="K141" i="11"/>
  <c r="K208" i="11"/>
  <c r="K186" i="11"/>
  <c r="P50" i="11"/>
  <c r="P78" i="11"/>
  <c r="L143" i="11"/>
  <c r="N143" i="11" s="1"/>
  <c r="I147" i="11"/>
  <c r="L147" i="11" s="1"/>
  <c r="N147" i="11" s="1"/>
  <c r="L158" i="11"/>
  <c r="N158" i="11" s="1"/>
  <c r="K185" i="11"/>
  <c r="K146" i="11"/>
  <c r="P5" i="11"/>
  <c r="K159" i="11"/>
  <c r="K126" i="11"/>
  <c r="K148" i="11"/>
  <c r="L177" i="11"/>
  <c r="N177" i="11" s="1"/>
  <c r="L121" i="11"/>
  <c r="N121" i="11" s="1"/>
  <c r="K149" i="11"/>
  <c r="K202" i="11"/>
  <c r="K132" i="11"/>
  <c r="I207" i="11"/>
  <c r="K207" i="11" s="1"/>
  <c r="P58" i="11"/>
  <c r="K118" i="11"/>
  <c r="K167" i="11"/>
  <c r="K198" i="11"/>
  <c r="K119" i="11"/>
  <c r="K150" i="11"/>
  <c r="K201" i="11"/>
  <c r="K163" i="11"/>
  <c r="L163" i="11"/>
  <c r="N163" i="11" s="1"/>
  <c r="K155" i="11"/>
  <c r="L155" i="11"/>
  <c r="N155" i="11" s="1"/>
  <c r="P53" i="11"/>
  <c r="I166" i="11"/>
  <c r="L191" i="11"/>
  <c r="N191" i="11" s="1"/>
  <c r="K191" i="11"/>
  <c r="I175" i="11"/>
  <c r="L175" i="11" s="1"/>
  <c r="N175" i="11" s="1"/>
  <c r="P62" i="11"/>
  <c r="I129" i="11"/>
  <c r="P16" i="11"/>
  <c r="I190" i="11"/>
  <c r="P77" i="11"/>
  <c r="K204" i="11"/>
  <c r="L204" i="11"/>
  <c r="N204" i="11" s="1"/>
  <c r="L181" i="11"/>
  <c r="N181" i="11" s="1"/>
  <c r="K181" i="11"/>
  <c r="I140" i="11"/>
  <c r="L140" i="11" s="1"/>
  <c r="N140" i="11" s="1"/>
  <c r="I179" i="11"/>
  <c r="K162" i="11"/>
  <c r="K184" i="11"/>
  <c r="I169" i="11"/>
  <c r="L169" i="11" s="1"/>
  <c r="N169" i="11" s="1"/>
  <c r="K131" i="11"/>
  <c r="K152" i="11"/>
  <c r="K153" i="11"/>
  <c r="I182" i="11"/>
  <c r="P75" i="11"/>
  <c r="I188" i="11"/>
  <c r="L135" i="11"/>
  <c r="N135" i="11" s="1"/>
  <c r="K136" i="11"/>
  <c r="K197" i="11"/>
  <c r="K161" i="11"/>
  <c r="K139" i="11"/>
  <c r="K151" i="11"/>
  <c r="K192" i="11"/>
  <c r="L202" i="11"/>
  <c r="N202" i="11" s="1"/>
  <c r="P68" i="11"/>
  <c r="L167" i="11"/>
  <c r="N167" i="11" s="1"/>
  <c r="I130" i="11"/>
  <c r="L130" i="11" s="1"/>
  <c r="N130" i="11" s="1"/>
  <c r="K169" i="11"/>
  <c r="K183" i="11"/>
  <c r="K206" i="11"/>
  <c r="K125" i="11"/>
  <c r="I117" i="11"/>
  <c r="L117" i="11" s="1"/>
  <c r="N117" i="11" s="1"/>
  <c r="L186" i="11"/>
  <c r="N186" i="11" s="1"/>
  <c r="I203" i="11"/>
  <c r="K134" i="11"/>
  <c r="K144" i="11"/>
  <c r="K195" i="11"/>
  <c r="K152" i="2"/>
  <c r="K120" i="2"/>
  <c r="N8" i="2"/>
  <c r="N23" i="2"/>
  <c r="N10" i="2"/>
  <c r="N13" i="2"/>
  <c r="K98" i="2"/>
  <c r="L107" i="2"/>
  <c r="O23" i="2" s="1"/>
  <c r="M102" i="2"/>
  <c r="N102" i="2" s="1"/>
  <c r="N11" i="2"/>
  <c r="N15" i="2"/>
  <c r="N151" i="2"/>
  <c r="N150" i="2"/>
  <c r="K151" i="2"/>
  <c r="K149" i="2"/>
  <c r="K100" i="2"/>
  <c r="K144" i="2"/>
  <c r="K150" i="2"/>
  <c r="M143" i="2"/>
  <c r="N143" i="2" s="1"/>
  <c r="K131" i="2"/>
  <c r="M89" i="2"/>
  <c r="N89" i="2" s="1"/>
  <c r="K121" i="2"/>
  <c r="N19" i="2"/>
  <c r="K111" i="2"/>
  <c r="M145" i="2"/>
  <c r="N145" i="2" s="1"/>
  <c r="K112" i="2"/>
  <c r="N115" i="2"/>
  <c r="N131" i="2"/>
  <c r="K113" i="2"/>
  <c r="K135" i="2"/>
  <c r="K94" i="2"/>
  <c r="N129" i="2"/>
  <c r="K38" i="8"/>
  <c r="O9" i="8" s="1"/>
  <c r="P9" i="8" s="1"/>
  <c r="N24" i="2"/>
  <c r="K118" i="2"/>
  <c r="N94" i="2"/>
  <c r="K134" i="2"/>
  <c r="P44" i="2"/>
  <c r="K142" i="2"/>
  <c r="P26" i="2"/>
  <c r="K145" i="2"/>
  <c r="K97" i="2"/>
  <c r="N121" i="2"/>
  <c r="P50" i="2"/>
  <c r="M105" i="2"/>
  <c r="N105" i="2" s="1"/>
  <c r="N141" i="2"/>
  <c r="N95" i="2"/>
  <c r="K108" i="2"/>
  <c r="K116" i="2"/>
  <c r="N61" i="2"/>
  <c r="L108" i="2"/>
  <c r="N108" i="2" s="1"/>
  <c r="P42" i="2"/>
  <c r="N103" i="2"/>
  <c r="P62" i="2"/>
  <c r="K103" i="2"/>
  <c r="N127" i="2"/>
  <c r="L120" i="2"/>
  <c r="K95" i="2"/>
  <c r="P60" i="2"/>
  <c r="P57" i="2"/>
  <c r="O28" i="8"/>
  <c r="P28" i="8" s="1"/>
  <c r="N113" i="2"/>
  <c r="P49" i="2"/>
  <c r="K136" i="2"/>
  <c r="K132" i="2"/>
  <c r="P15" i="2"/>
  <c r="M104" i="2"/>
  <c r="N104" i="2" s="1"/>
  <c r="N134" i="2"/>
  <c r="O51" i="2"/>
  <c r="P51" i="2" s="1"/>
  <c r="L109" i="2"/>
  <c r="N109" i="2" s="1"/>
  <c r="P35" i="2"/>
  <c r="M146" i="2"/>
  <c r="N146" i="2" s="1"/>
  <c r="P20" i="2"/>
  <c r="K140" i="2"/>
  <c r="O63" i="2"/>
  <c r="P63" i="2" s="1"/>
  <c r="K109" i="2"/>
  <c r="N14" i="2"/>
  <c r="N138" i="2"/>
  <c r="P48" i="2"/>
  <c r="N133" i="2"/>
  <c r="L97" i="2"/>
  <c r="M110" i="2"/>
  <c r="N110" i="2" s="1"/>
  <c r="L144" i="2"/>
  <c r="O29" i="2"/>
  <c r="P29" i="2" s="1"/>
  <c r="N123" i="2"/>
  <c r="N17" i="2"/>
  <c r="M148" i="2"/>
  <c r="N148" i="2" s="1"/>
  <c r="M90" i="2"/>
  <c r="N90" i="2" s="1"/>
  <c r="K93" i="2"/>
  <c r="N142" i="2"/>
  <c r="P59" i="2"/>
  <c r="K89" i="2"/>
  <c r="O11" i="2"/>
  <c r="P11" i="2" s="1"/>
  <c r="N106" i="2"/>
  <c r="K141" i="2"/>
  <c r="N140" i="2"/>
  <c r="P7" i="2"/>
  <c r="K92" i="2"/>
  <c r="N124" i="2"/>
  <c r="M122" i="2"/>
  <c r="K146" i="2"/>
  <c r="P10" i="2"/>
  <c r="K102" i="2"/>
  <c r="P58" i="2"/>
  <c r="K129" i="2"/>
  <c r="P31" i="2"/>
  <c r="N135" i="2"/>
  <c r="N132" i="2"/>
  <c r="M93" i="2"/>
  <c r="N93" i="2" s="1"/>
  <c r="O33" i="2"/>
  <c r="P33" i="2" s="1"/>
  <c r="N117" i="2"/>
  <c r="O8" i="2"/>
  <c r="P8" i="2" s="1"/>
  <c r="N92" i="2"/>
  <c r="O54" i="2"/>
  <c r="P54" i="2" s="1"/>
  <c r="O55" i="2"/>
  <c r="P55" i="2" s="1"/>
  <c r="N137" i="2"/>
  <c r="O53" i="2"/>
  <c r="P53" i="2" s="1"/>
  <c r="N136" i="2"/>
  <c r="K114" i="2"/>
  <c r="L114" i="2"/>
  <c r="O12" i="2"/>
  <c r="P12" i="2" s="1"/>
  <c r="N96" i="2"/>
  <c r="O17" i="2"/>
  <c r="P17" i="2" s="1"/>
  <c r="N101" i="2"/>
  <c r="O18" i="2"/>
  <c r="P18" i="2" s="1"/>
  <c r="N149" i="2"/>
  <c r="N112" i="2"/>
  <c r="O28" i="2"/>
  <c r="P28" i="2" s="1"/>
  <c r="K117" i="2"/>
  <c r="K138" i="2"/>
  <c r="K110" i="2"/>
  <c r="N7" i="2"/>
  <c r="N28" i="2"/>
  <c r="K104" i="2"/>
  <c r="K105" i="2"/>
  <c r="K99" i="2"/>
  <c r="O45" i="2"/>
  <c r="P45" i="2" s="1"/>
  <c r="L118" i="2"/>
  <c r="O64" i="2"/>
  <c r="P64" i="2" s="1"/>
  <c r="N91" i="2"/>
  <c r="P43" i="2"/>
  <c r="K90" i="2"/>
  <c r="N126" i="2"/>
  <c r="N59" i="2"/>
  <c r="L122" i="2"/>
  <c r="P52" i="2"/>
  <c r="P47" i="2"/>
  <c r="K147" i="2"/>
  <c r="P27" i="2"/>
  <c r="K139" i="2"/>
  <c r="K96" i="2"/>
  <c r="K126" i="2"/>
  <c r="N100" i="2"/>
  <c r="K106" i="2"/>
  <c r="K128" i="2"/>
  <c r="K36" i="8"/>
  <c r="O7" i="8" s="1"/>
  <c r="P7" i="8" s="1"/>
  <c r="N27" i="2"/>
  <c r="K101" i="2"/>
  <c r="N66" i="2"/>
  <c r="K133" i="2"/>
  <c r="K43" i="8"/>
  <c r="N116" i="2"/>
  <c r="K119" i="2"/>
  <c r="K41" i="8"/>
  <c r="O27" i="8"/>
  <c r="P27" i="8" s="1"/>
  <c r="K148" i="2"/>
  <c r="N16" i="2"/>
  <c r="P9" i="2"/>
  <c r="P39" i="2"/>
  <c r="K137" i="2"/>
  <c r="K124" i="2"/>
  <c r="P41" i="2"/>
  <c r="N125" i="2"/>
  <c r="L98" i="2"/>
  <c r="N98" i="2" s="1"/>
  <c r="N128" i="2"/>
  <c r="K143" i="2"/>
  <c r="O19" i="2"/>
  <c r="P19" i="2" s="1"/>
  <c r="N99" i="2"/>
  <c r="P5" i="2"/>
  <c r="N111" i="2"/>
  <c r="O56" i="2"/>
  <c r="P56" i="2" s="1"/>
  <c r="O6" i="2"/>
  <c r="P6" i="2" s="1"/>
  <c r="O16" i="2"/>
  <c r="P16" i="2" s="1"/>
  <c r="O40" i="2"/>
  <c r="P40" i="2" s="1"/>
  <c r="O21" i="2"/>
  <c r="P21" i="2" s="1"/>
  <c r="N130" i="2"/>
  <c r="N139" i="2"/>
  <c r="N119" i="2"/>
  <c r="O37" i="2"/>
  <c r="P37" i="2" s="1"/>
  <c r="O22" i="2"/>
  <c r="P22" i="2" s="1"/>
  <c r="O32" i="2"/>
  <c r="P32" i="2" s="1"/>
  <c r="P65" i="2"/>
  <c r="K54" i="8"/>
  <c r="M54" i="8" s="1"/>
  <c r="M55" i="8" s="1"/>
  <c r="M59" i="8" s="1"/>
  <c r="L53" i="8"/>
  <c r="O24" i="8" s="1"/>
  <c r="P24" i="8" s="1"/>
  <c r="O8" i="8"/>
  <c r="P8" i="8" s="1"/>
  <c r="L37" i="8"/>
  <c r="N31" i="8"/>
  <c r="P23" i="2"/>
  <c r="N107" i="2" l="1"/>
  <c r="K205" i="11"/>
  <c r="P91" i="11"/>
  <c r="I172" i="11"/>
  <c r="K180" i="11"/>
  <c r="I127" i="11"/>
  <c r="P14" i="11"/>
  <c r="P98" i="11" s="1"/>
  <c r="L173" i="11"/>
  <c r="N173" i="11" s="1"/>
  <c r="K173" i="11"/>
  <c r="K176" i="11"/>
  <c r="K117" i="11"/>
  <c r="P20" i="11"/>
  <c r="I133" i="11"/>
  <c r="I160" i="11"/>
  <c r="P47" i="11"/>
  <c r="K128" i="11"/>
  <c r="K171" i="11"/>
  <c r="K140" i="11"/>
  <c r="L157" i="11"/>
  <c r="N157" i="11" s="1"/>
  <c r="K157" i="11"/>
  <c r="I199" i="11"/>
  <c r="P86" i="11"/>
  <c r="P61" i="11"/>
  <c r="I174" i="11"/>
  <c r="K147" i="11"/>
  <c r="P87" i="11"/>
  <c r="I200" i="11"/>
  <c r="L172" i="11"/>
  <c r="N172" i="11" s="1"/>
  <c r="K172" i="11"/>
  <c r="L207" i="11"/>
  <c r="N207" i="11" s="1"/>
  <c r="P52" i="11"/>
  <c r="I165" i="11"/>
  <c r="K166" i="11"/>
  <c r="L166" i="11"/>
  <c r="N166" i="11" s="1"/>
  <c r="I189" i="11"/>
  <c r="P76" i="11"/>
  <c r="K129" i="11"/>
  <c r="L129" i="11"/>
  <c r="P51" i="11"/>
  <c r="I164" i="11"/>
  <c r="I194" i="11"/>
  <c r="P81" i="11"/>
  <c r="L179" i="11"/>
  <c r="N179" i="11" s="1"/>
  <c r="K179" i="11"/>
  <c r="K182" i="11"/>
  <c r="L182" i="11"/>
  <c r="N182" i="11" s="1"/>
  <c r="L190" i="11"/>
  <c r="N190" i="11" s="1"/>
  <c r="K190" i="11"/>
  <c r="K203" i="11"/>
  <c r="L203" i="11"/>
  <c r="N203" i="11" s="1"/>
  <c r="K175" i="11"/>
  <c r="K130" i="11"/>
  <c r="K188" i="11"/>
  <c r="L188" i="11"/>
  <c r="N188" i="11" s="1"/>
  <c r="L38" i="8"/>
  <c r="L54" i="8"/>
  <c r="O25" i="8" s="1"/>
  <c r="P25" i="8" s="1"/>
  <c r="L153" i="2"/>
  <c r="K153" i="2"/>
  <c r="O25" i="2"/>
  <c r="P25" i="2" s="1"/>
  <c r="N120" i="2"/>
  <c r="O36" i="2"/>
  <c r="P36" i="2" s="1"/>
  <c r="O24" i="2"/>
  <c r="P24" i="2" s="1"/>
  <c r="O13" i="2"/>
  <c r="N97" i="2"/>
  <c r="N144" i="2"/>
  <c r="O61" i="2"/>
  <c r="P61" i="2" s="1"/>
  <c r="L36" i="8"/>
  <c r="K55" i="8"/>
  <c r="K59" i="8" s="1"/>
  <c r="O14" i="2"/>
  <c r="P14" i="2" s="1"/>
  <c r="N122" i="2"/>
  <c r="O38" i="2"/>
  <c r="P38" i="2" s="1"/>
  <c r="O14" i="8"/>
  <c r="P14" i="8" s="1"/>
  <c r="L43" i="8"/>
  <c r="N114" i="2"/>
  <c r="O30" i="2"/>
  <c r="P30" i="2" s="1"/>
  <c r="L41" i="8"/>
  <c r="O12" i="8"/>
  <c r="P12" i="8" s="1"/>
  <c r="N118" i="2"/>
  <c r="O34" i="2"/>
  <c r="P34" i="2" s="1"/>
  <c r="L160" i="11" l="1"/>
  <c r="N160" i="11" s="1"/>
  <c r="K160" i="11"/>
  <c r="L133" i="11"/>
  <c r="N133" i="11" s="1"/>
  <c r="K133" i="11"/>
  <c r="L174" i="11"/>
  <c r="N174" i="11" s="1"/>
  <c r="K174" i="11"/>
  <c r="L199" i="11"/>
  <c r="N199" i="11" s="1"/>
  <c r="K199" i="11"/>
  <c r="L127" i="11"/>
  <c r="K127" i="11"/>
  <c r="L165" i="11"/>
  <c r="N165" i="11" s="1"/>
  <c r="K165" i="11"/>
  <c r="K200" i="11"/>
  <c r="L200" i="11"/>
  <c r="N200" i="11" s="1"/>
  <c r="K194" i="11"/>
  <c r="L194" i="11"/>
  <c r="N194" i="11" s="1"/>
  <c r="K164" i="11"/>
  <c r="L164" i="11"/>
  <c r="N164" i="11" s="1"/>
  <c r="N129" i="11"/>
  <c r="L189" i="11"/>
  <c r="N189" i="11" s="1"/>
  <c r="K189" i="11"/>
  <c r="N153" i="2"/>
  <c r="P13" i="2"/>
  <c r="P70" i="2" s="1"/>
  <c r="O70" i="2"/>
  <c r="L55" i="8"/>
  <c r="K211" i="11" l="1"/>
  <c r="N127" i="11"/>
  <c r="N211" i="11" s="1"/>
  <c r="L211" i="11"/>
  <c r="O101" i="11" s="1"/>
  <c r="O100" i="11"/>
  <c r="P100" i="11" s="1"/>
  <c r="L59" i="8"/>
  <c r="N59" i="8" s="1"/>
  <c r="O31" i="8" s="1"/>
  <c r="N55" i="8"/>
  <c r="O30" i="8" s="1"/>
  <c r="S45" i="6" l="1"/>
  <c r="M101" i="11"/>
  <c r="N101" i="11" s="1"/>
  <c r="S44" i="6"/>
  <c r="P101" i="11"/>
  <c r="P31" i="8"/>
  <c r="S42" i="6"/>
  <c r="T42" i="6" s="1"/>
  <c r="P30" i="8"/>
  <c r="S41" i="6"/>
  <c r="T41" i="6" s="1"/>
  <c r="T43" i="6" s="1"/>
  <c r="I42" i="6" s="1"/>
  <c r="E7" i="6" s="1"/>
  <c r="D5" i="8" l="1"/>
  <c r="D7" i="6" s="1"/>
  <c r="D4" i="11"/>
  <c r="D9" i="6" s="1"/>
  <c r="O73" i="2" l="1"/>
  <c r="S35" i="6" s="1"/>
  <c r="T35" i="6" s="1"/>
  <c r="M73" i="2"/>
  <c r="P73" i="2" s="1"/>
  <c r="O72" i="2"/>
  <c r="N73" i="2" l="1"/>
  <c r="S36" i="6"/>
  <c r="T36" i="6" s="1"/>
  <c r="T37" i="6" s="1"/>
  <c r="I36" i="6" s="1"/>
  <c r="P72" i="2"/>
  <c r="D4" i="2" s="1"/>
  <c r="D10" i="6" s="1"/>
  <c r="E10" i="6" l="1"/>
  <c r="D6" i="6" s="1"/>
  <c r="D11" i="6" s="1"/>
</calcChain>
</file>

<file path=xl/sharedStrings.xml><?xml version="1.0" encoding="utf-8"?>
<sst xmlns="http://schemas.openxmlformats.org/spreadsheetml/2006/main" count="942" uniqueCount="604">
  <si>
    <t>賃金台帳保有期間</t>
    <rPh sb="0" eb="2">
      <t>チンギン</t>
    </rPh>
    <rPh sb="2" eb="4">
      <t>ダイチョウ</t>
    </rPh>
    <rPh sb="4" eb="6">
      <t>ホユウ</t>
    </rPh>
    <rPh sb="6" eb="8">
      <t>キカン</t>
    </rPh>
    <phoneticPr fontId="3"/>
  </si>
  <si>
    <t>年</t>
    <rPh sb="0" eb="1">
      <t>ネン</t>
    </rPh>
    <phoneticPr fontId="3"/>
  </si>
  <si>
    <t>データ入出力機能利用テーブル数</t>
    <rPh sb="3" eb="6">
      <t>ニュウシュツリョク</t>
    </rPh>
    <rPh sb="6" eb="8">
      <t>キノウ</t>
    </rPh>
    <rPh sb="8" eb="10">
      <t>リヨウ</t>
    </rPh>
    <rPh sb="14" eb="15">
      <t>スウ</t>
    </rPh>
    <phoneticPr fontId="3"/>
  </si>
  <si>
    <t>PR+</t>
    <phoneticPr fontId="3"/>
  </si>
  <si>
    <t>社員数*退職者比率</t>
    <rPh sb="0" eb="2">
      <t>シャイン</t>
    </rPh>
    <rPh sb="2" eb="3">
      <t>スウ</t>
    </rPh>
    <rPh sb="4" eb="7">
      <t>タイショクシャ</t>
    </rPh>
    <rPh sb="7" eb="9">
      <t>ヒリツ</t>
    </rPh>
    <phoneticPr fontId="3"/>
  </si>
  <si>
    <t>HRFURTRN</t>
  </si>
  <si>
    <t>社員数*退職者比率</t>
  </si>
  <si>
    <t>社員数（退職金計算対象者）</t>
    <rPh sb="0" eb="3">
      <t>シャインスウ</t>
    </rPh>
    <rPh sb="4" eb="7">
      <t>タイショクキン</t>
    </rPh>
    <rPh sb="7" eb="9">
      <t>ケイサン</t>
    </rPh>
    <rPh sb="9" eb="12">
      <t>タイショウシャ</t>
    </rPh>
    <phoneticPr fontId="3"/>
  </si>
  <si>
    <t>HRRCJMST</t>
  </si>
  <si>
    <t>（年度内移動数+年度内合計(1)）*2（仮計算データ有りの場合）+初年度データ（社員数）+退職確定データ（社員数*退職者比率）</t>
    <rPh sb="1" eb="3">
      <t>ネンド</t>
    </rPh>
    <rPh sb="3" eb="4">
      <t>ナイ</t>
    </rPh>
    <rPh sb="4" eb="7">
      <t>イドウスウ</t>
    </rPh>
    <rPh sb="8" eb="10">
      <t>ネンド</t>
    </rPh>
    <rPh sb="10" eb="11">
      <t>ナイ</t>
    </rPh>
    <rPh sb="11" eb="13">
      <t>ゴウケイ</t>
    </rPh>
    <rPh sb="20" eb="21">
      <t>カリ</t>
    </rPh>
    <rPh sb="21" eb="23">
      <t>ケイサン</t>
    </rPh>
    <rPh sb="26" eb="27">
      <t>ア</t>
    </rPh>
    <rPh sb="29" eb="31">
      <t>バアイ</t>
    </rPh>
    <rPh sb="33" eb="36">
      <t>ショネンド</t>
    </rPh>
    <rPh sb="40" eb="43">
      <t>シャインスウ</t>
    </rPh>
    <rPh sb="45" eb="47">
      <t>タイショク</t>
    </rPh>
    <rPh sb="47" eb="49">
      <t>カクテイ</t>
    </rPh>
    <phoneticPr fontId="3"/>
  </si>
  <si>
    <t>退職金テーブル定義（テーブル種別数）</t>
    <rPh sb="0" eb="3">
      <t>タイショクキン</t>
    </rPh>
    <rPh sb="7" eb="9">
      <t>テイギ</t>
    </rPh>
    <rPh sb="14" eb="16">
      <t>シュベツ</t>
    </rPh>
    <rPh sb="16" eb="17">
      <t>スウ</t>
    </rPh>
    <phoneticPr fontId="3"/>
  </si>
  <si>
    <t>事由定義テーブル（テーブル行数合計）</t>
    <rPh sb="0" eb="2">
      <t>ジユウ</t>
    </rPh>
    <rPh sb="2" eb="4">
      <t>テイギ</t>
    </rPh>
    <rPh sb="13" eb="14">
      <t>ギョウ</t>
    </rPh>
    <rPh sb="14" eb="15">
      <t>スウ</t>
    </rPh>
    <rPh sb="15" eb="17">
      <t>ゴウケイ</t>
    </rPh>
    <phoneticPr fontId="3"/>
  </si>
  <si>
    <t>退職金計算式（式数）</t>
    <rPh sb="0" eb="3">
      <t>タイショクキン</t>
    </rPh>
    <rPh sb="3" eb="5">
      <t>ケイサン</t>
    </rPh>
    <rPh sb="5" eb="6">
      <t>シキ</t>
    </rPh>
    <rPh sb="7" eb="8">
      <t>シキ</t>
    </rPh>
    <rPh sb="8" eb="9">
      <t>スウ</t>
    </rPh>
    <phoneticPr fontId="3"/>
  </si>
  <si>
    <t>1人当たりの年度内異動数（MIN:1）</t>
    <rPh sb="0" eb="2">
      <t>ヒトリ</t>
    </rPh>
    <rPh sb="2" eb="3">
      <t>ア</t>
    </rPh>
    <rPh sb="6" eb="8">
      <t>ネンド</t>
    </rPh>
    <rPh sb="8" eb="9">
      <t>ナイ</t>
    </rPh>
    <rPh sb="9" eb="11">
      <t>イドウ</t>
    </rPh>
    <rPh sb="11" eb="12">
      <t>スウ</t>
    </rPh>
    <phoneticPr fontId="3"/>
  </si>
  <si>
    <t>回</t>
    <rPh sb="0" eb="1">
      <t>カイ</t>
    </rPh>
    <phoneticPr fontId="3"/>
  </si>
  <si>
    <t>HRRK2MST</t>
  </si>
  <si>
    <t>仮計算の有無（有:1,無:0）</t>
    <rPh sb="0" eb="1">
      <t>カリ</t>
    </rPh>
    <rPh sb="1" eb="3">
      <t>ケイサン</t>
    </rPh>
    <rPh sb="4" eb="6">
      <t>ウム</t>
    </rPh>
    <rPh sb="7" eb="8">
      <t>ア</t>
    </rPh>
    <rPh sb="11" eb="12">
      <t>ナ</t>
    </rPh>
    <phoneticPr fontId="3"/>
  </si>
  <si>
    <t>HRRKJMST</t>
  </si>
  <si>
    <t>初年度データの有無（有:1,無:0）</t>
    <rPh sb="0" eb="3">
      <t>ショネンド</t>
    </rPh>
    <rPh sb="7" eb="9">
      <t>ウム</t>
    </rPh>
    <rPh sb="10" eb="11">
      <t>ア</t>
    </rPh>
    <rPh sb="14" eb="15">
      <t>ナ</t>
    </rPh>
    <phoneticPr fontId="3"/>
  </si>
  <si>
    <t>HRRSWTRN</t>
  </si>
  <si>
    <t>初期設定</t>
    <rPh sb="0" eb="2">
      <t>ショキ</t>
    </rPh>
    <rPh sb="2" eb="4">
      <t>セッテイ</t>
    </rPh>
    <phoneticPr fontId="3"/>
  </si>
  <si>
    <t>HR+連携</t>
    <rPh sb="3" eb="5">
      <t>レンケイ</t>
    </rPh>
    <phoneticPr fontId="3"/>
  </si>
  <si>
    <t>初年度データ取り込み</t>
    <rPh sb="0" eb="3">
      <t>ショネンド</t>
    </rPh>
    <rPh sb="6" eb="7">
      <t>ト</t>
    </rPh>
    <rPh sb="8" eb="9">
      <t>コ</t>
    </rPh>
    <phoneticPr fontId="3"/>
  </si>
  <si>
    <t>準備処理／計算処理（仮計算）</t>
    <rPh sb="0" eb="2">
      <t>ジュンビ</t>
    </rPh>
    <rPh sb="2" eb="4">
      <t>ショリ</t>
    </rPh>
    <rPh sb="5" eb="7">
      <t>ケイサン</t>
    </rPh>
    <rPh sb="7" eb="9">
      <t>ショリ</t>
    </rPh>
    <rPh sb="10" eb="11">
      <t>カリ</t>
    </rPh>
    <rPh sb="11" eb="13">
      <t>ケイサン</t>
    </rPh>
    <phoneticPr fontId="3"/>
  </si>
  <si>
    <t>準備処理／計算処理（本計算）</t>
    <rPh sb="0" eb="2">
      <t>ジュンビ</t>
    </rPh>
    <rPh sb="2" eb="4">
      <t>ショリ</t>
    </rPh>
    <rPh sb="5" eb="7">
      <t>ケイサン</t>
    </rPh>
    <rPh sb="7" eb="9">
      <t>ショリ</t>
    </rPh>
    <rPh sb="10" eb="11">
      <t>ホン</t>
    </rPh>
    <rPh sb="11" eb="13">
      <t>ケイサン</t>
    </rPh>
    <phoneticPr fontId="3"/>
  </si>
  <si>
    <t>退職確定処理</t>
    <rPh sb="0" eb="2">
      <t>タイショク</t>
    </rPh>
    <rPh sb="2" eb="4">
      <t>カクテイ</t>
    </rPh>
    <rPh sb="4" eb="6">
      <t>ショリ</t>
    </rPh>
    <phoneticPr fontId="3"/>
  </si>
  <si>
    <t>CORE一次仕訳作成</t>
    <rPh sb="4" eb="6">
      <t>イチジ</t>
    </rPh>
    <rPh sb="6" eb="8">
      <t>シワケ</t>
    </rPh>
    <rPh sb="8" eb="10">
      <t>サクセイ</t>
    </rPh>
    <phoneticPr fontId="3"/>
  </si>
  <si>
    <t>EBデータ作成</t>
    <rPh sb="5" eb="7">
      <t>サクセイ</t>
    </rPh>
    <phoneticPr fontId="3"/>
  </si>
  <si>
    <t>FBデータ作成</t>
    <rPh sb="5" eb="7">
      <t>サクセイ</t>
    </rPh>
    <phoneticPr fontId="3"/>
  </si>
  <si>
    <t>ブロックサイズ：</t>
    <phoneticPr fontId="3"/>
  </si>
  <si>
    <t>（MB）</t>
    <phoneticPr fontId="3"/>
  </si>
  <si>
    <t>CMLOGHDR</t>
    <phoneticPr fontId="3"/>
  </si>
  <si>
    <t>INSERT</t>
    <phoneticPr fontId="3"/>
  </si>
  <si>
    <t>UPDATE</t>
    <phoneticPr fontId="3"/>
  </si>
  <si>
    <t>INS</t>
    <phoneticPr fontId="3"/>
  </si>
  <si>
    <t>UPD</t>
    <phoneticPr fontId="3"/>
  </si>
  <si>
    <t>DEL</t>
    <phoneticPr fontId="3"/>
  </si>
  <si>
    <t>DELETE</t>
    <phoneticPr fontId="3"/>
  </si>
  <si>
    <t>CMLOGDTL</t>
    <phoneticPr fontId="3"/>
  </si>
  <si>
    <t>退職金</t>
    <rPh sb="0" eb="3">
      <t>タイショクキン</t>
    </rPh>
    <phoneticPr fontId="3"/>
  </si>
  <si>
    <t>CM_QR</t>
    <phoneticPr fontId="3"/>
  </si>
  <si>
    <t>スキーマ</t>
  </si>
  <si>
    <t>索引名</t>
  </si>
  <si>
    <t>UNIQUENESS (Y/N)</t>
  </si>
  <si>
    <t>127byte以下の列数</t>
  </si>
  <si>
    <t>128byte以上の列数</t>
  </si>
  <si>
    <t>全索引結合データ領域</t>
  </si>
  <si>
    <t>予測されるNULLでない行数</t>
  </si>
  <si>
    <t>増加率（％）</t>
  </si>
  <si>
    <t>増加量（MB）</t>
  </si>
  <si>
    <t>COREDBA</t>
  </si>
  <si>
    <t>Y</t>
  </si>
  <si>
    <t>UK_CMLOGDTL</t>
  </si>
  <si>
    <t>PK_CMLOGHDR</t>
  </si>
  <si>
    <t>LOGDTL件数</t>
    <rPh sb="6" eb="8">
      <t>ケンスウ</t>
    </rPh>
    <phoneticPr fontId="3"/>
  </si>
  <si>
    <t>PRBNKTRN</t>
  </si>
  <si>
    <t>PRNCHMST</t>
  </si>
  <si>
    <t>Byte ( 2048, 4096, 8192, 16384, 32768 より選択してください )</t>
  </si>
  <si>
    <t>表名</t>
  </si>
  <si>
    <t>PCTFREE</t>
  </si>
  <si>
    <t>INITRANS</t>
  </si>
  <si>
    <t>250byte以下の列数</t>
  </si>
  <si>
    <t>251byte以上の列数</t>
  </si>
  <si>
    <t>列データ領域の合計</t>
  </si>
  <si>
    <t>CMLOGDTL</t>
  </si>
  <si>
    <t>CMLOGHDR</t>
  </si>
  <si>
    <t>必要ディスク容量</t>
  </si>
  <si>
    <t>GB</t>
  </si>
  <si>
    <t>SYSTEM 表領域</t>
  </si>
  <si>
    <t>・データ・ファイルが存在するディスク装置、OSのスワップ領域を避けてください／オンライン・トランザクション用のものと夜間の大容量用のものをきり分けて用意されることをお勧めします</t>
  </si>
  <si>
    <t>一時表領域</t>
  </si>
  <si>
    <t>合計</t>
  </si>
  <si>
    <t>・OSその他のシステム領域</t>
  </si>
  <si>
    <t>・RDBMSインストールのための領域</t>
  </si>
  <si>
    <t>・バックアップその他の作業領域</t>
  </si>
  <si>
    <t>・ディスク装置の数</t>
  </si>
  <si>
    <t>・I/Fカードの数</t>
  </si>
  <si>
    <t>GB</t>
    <phoneticPr fontId="14"/>
  </si>
  <si>
    <t>↑</t>
    <phoneticPr fontId="14"/>
  </si>
  <si>
    <t>(使用する:１)(しない:０)</t>
    <rPh sb="1" eb="3">
      <t>シヨウ</t>
    </rPh>
    <phoneticPr fontId="14"/>
  </si>
  <si>
    <t>！ご利用上の注意！　算出された数値についてはご参考値としてご利用ください。</t>
    <rPh sb="1" eb="4">
      <t>ゴリヨウ</t>
    </rPh>
    <rPh sb="4" eb="5">
      <t>ジョウ</t>
    </rPh>
    <rPh sb="6" eb="8">
      <t>チュウイ</t>
    </rPh>
    <rPh sb="10" eb="12">
      <t>サンシュツ</t>
    </rPh>
    <rPh sb="15" eb="17">
      <t>スウチ</t>
    </rPh>
    <rPh sb="22" eb="23">
      <t>ゴサンコウ</t>
    </rPh>
    <rPh sb="23" eb="25">
      <t>サンコウ</t>
    </rPh>
    <rPh sb="25" eb="26">
      <t>チ</t>
    </rPh>
    <rPh sb="29" eb="32">
      <t>ゴリヨウ</t>
    </rPh>
    <phoneticPr fontId="14"/>
  </si>
  <si>
    <t>　実際のデータ発生状況によって数値が左右されますことを考慮して下さい.</t>
    <rPh sb="1" eb="3">
      <t>ジッサイ</t>
    </rPh>
    <rPh sb="7" eb="9">
      <t>ハッセイ</t>
    </rPh>
    <rPh sb="9" eb="11">
      <t>ジョウキョウ</t>
    </rPh>
    <rPh sb="15" eb="17">
      <t>スウチ</t>
    </rPh>
    <rPh sb="18" eb="20">
      <t>サユウ</t>
    </rPh>
    <rPh sb="27" eb="29">
      <t>コウリョ</t>
    </rPh>
    <rPh sb="29" eb="32">
      <t>シテクダ</t>
    </rPh>
    <phoneticPr fontId="14"/>
  </si>
  <si>
    <t>INDEX表領域</t>
    <rPh sb="5" eb="6">
      <t>ヒョウ</t>
    </rPh>
    <rPh sb="6" eb="8">
      <t>リョウイキ</t>
    </rPh>
    <phoneticPr fontId="3"/>
  </si>
  <si>
    <t>Rollback Segment
（UNDO）</t>
    <phoneticPr fontId="3"/>
  </si>
  <si>
    <t>PRCH2MST</t>
  </si>
  <si>
    <t>PRKHNMST</t>
  </si>
  <si>
    <t>PRKINMST</t>
  </si>
  <si>
    <t>PRKJ2MST</t>
  </si>
  <si>
    <t>PRKJOMST</t>
  </si>
  <si>
    <t>PRKY1MST</t>
  </si>
  <si>
    <t>PRKYOMST</t>
  </si>
  <si>
    <t>PRKZKMST</t>
  </si>
  <si>
    <t>PRNCJMST</t>
  </si>
  <si>
    <t>PRS2DMST</t>
  </si>
  <si>
    <t>PRSHKMST</t>
  </si>
  <si>
    <t>PRSS1MST</t>
  </si>
  <si>
    <t>PRSS2MST</t>
  </si>
  <si>
    <t>PRSSDMST</t>
  </si>
  <si>
    <t>PRSSTMST</t>
  </si>
  <si>
    <t>PRSY1MST</t>
  </si>
  <si>
    <t>PRSY2MST</t>
  </si>
  <si>
    <t>PRSYAMST</t>
  </si>
  <si>
    <t>PRSYHMST</t>
  </si>
  <si>
    <t>PRSYOMST</t>
  </si>
  <si>
    <t>PRTAXMST</t>
  </si>
  <si>
    <t>　場合には、別々に計算して合計して下さい。</t>
    <rPh sb="9" eb="11">
      <t>ケイサン</t>
    </rPh>
    <rPh sb="13" eb="15">
      <t>ゴウケイ</t>
    </rPh>
    <rPh sb="17" eb="18">
      <t>クダ</t>
    </rPh>
    <phoneticPr fontId="3"/>
  </si>
  <si>
    <t>ブロックサイズ：</t>
    <phoneticPr fontId="3"/>
  </si>
  <si>
    <t>（MB）</t>
    <phoneticPr fontId="3"/>
  </si>
  <si>
    <t>別々に計算して合計して下さい。</t>
    <rPh sb="3" eb="5">
      <t>ケイサン</t>
    </rPh>
    <rPh sb="7" eb="9">
      <t>ゴウケイ</t>
    </rPh>
    <rPh sb="11" eb="12">
      <t>クダ</t>
    </rPh>
    <phoneticPr fontId="3"/>
  </si>
  <si>
    <t>※会社１社分の計算です。複数社ある場合には、</t>
    <rPh sb="1" eb="3">
      <t>カイシャ</t>
    </rPh>
    <rPh sb="4" eb="5">
      <t>シャ</t>
    </rPh>
    <rPh sb="5" eb="6">
      <t>ブン</t>
    </rPh>
    <rPh sb="7" eb="9">
      <t>ケイサン</t>
    </rPh>
    <rPh sb="12" eb="14">
      <t>フクスウ</t>
    </rPh>
    <rPh sb="14" eb="15">
      <t>シャ</t>
    </rPh>
    <phoneticPr fontId="3"/>
  </si>
  <si>
    <t>INSERT回数</t>
    <rPh sb="6" eb="8">
      <t>カイスウ</t>
    </rPh>
    <phoneticPr fontId="3"/>
  </si>
  <si>
    <t>UPDATE回数</t>
    <rPh sb="6" eb="8">
      <t>カイスウ</t>
    </rPh>
    <phoneticPr fontId="3"/>
  </si>
  <si>
    <t>DELETE回数</t>
    <rPh sb="6" eb="8">
      <t>カイスウ</t>
    </rPh>
    <phoneticPr fontId="3"/>
  </si>
  <si>
    <t>LOGHDR件数</t>
    <rPh sb="6" eb="8">
      <t>ケンスウ</t>
    </rPh>
    <phoneticPr fontId="3"/>
  </si>
  <si>
    <t>平均的行サイズ（計算結果）</t>
  </si>
  <si>
    <t>予測される行数</t>
  </si>
  <si>
    <t>必要なサイズ（MB）</t>
  </si>
  <si>
    <t>CMJYUMST</t>
  </si>
  <si>
    <t>PRCH1MST</t>
  </si>
  <si>
    <t>社員数（給与計算対象者）</t>
    <rPh sb="0" eb="3">
      <t>シャインスウ</t>
    </rPh>
    <rPh sb="4" eb="6">
      <t>キュウヨ</t>
    </rPh>
    <rPh sb="6" eb="8">
      <t>ケイサン</t>
    </rPh>
    <rPh sb="8" eb="11">
      <t>タイショウシャ</t>
    </rPh>
    <phoneticPr fontId="3"/>
  </si>
  <si>
    <t>地方税事業所の数</t>
    <rPh sb="0" eb="3">
      <t>チホウゼイ</t>
    </rPh>
    <rPh sb="3" eb="6">
      <t>ジギョウショ</t>
    </rPh>
    <phoneticPr fontId="3"/>
  </si>
  <si>
    <t>仮定値</t>
    <rPh sb="0" eb="2">
      <t>カテイ</t>
    </rPh>
    <rPh sb="2" eb="3">
      <t>チ</t>
    </rPh>
    <phoneticPr fontId="3"/>
  </si>
  <si>
    <t>年分</t>
    <rPh sb="0" eb="2">
      <t>ネンブン</t>
    </rPh>
    <phoneticPr fontId="3"/>
  </si>
  <si>
    <t>社員数+社員数*退職割合*年数</t>
    <rPh sb="0" eb="2">
      <t>シャイン</t>
    </rPh>
    <rPh sb="4" eb="7">
      <t>シャインスウ</t>
    </rPh>
    <rPh sb="8" eb="10">
      <t>タイショク</t>
    </rPh>
    <rPh sb="10" eb="12">
      <t>ワリアイ</t>
    </rPh>
    <rPh sb="13" eb="15">
      <t>ネンスウ</t>
    </rPh>
    <phoneticPr fontId="3"/>
  </si>
  <si>
    <t>一人当たり拡張項目数(社員数+社員数*退職割合*年数)</t>
    <rPh sb="0" eb="2">
      <t>ヒトリ</t>
    </rPh>
    <rPh sb="2" eb="3">
      <t>ア</t>
    </rPh>
    <rPh sb="5" eb="7">
      <t>カクチョウ</t>
    </rPh>
    <rPh sb="7" eb="9">
      <t>コウモク</t>
    </rPh>
    <rPh sb="9" eb="10">
      <t>スウ</t>
    </rPh>
    <rPh sb="11" eb="13">
      <t>シャイン</t>
    </rPh>
    <rPh sb="15" eb="18">
      <t>シャインスウ</t>
    </rPh>
    <rPh sb="19" eb="21">
      <t>タイショク</t>
    </rPh>
    <rPh sb="21" eb="23">
      <t>ワリアイ</t>
    </rPh>
    <rPh sb="24" eb="26">
      <t>ネンスウ</t>
    </rPh>
    <phoneticPr fontId="3"/>
  </si>
  <si>
    <t>人</t>
    <rPh sb="0" eb="1">
      <t>ニン</t>
    </rPh>
    <phoneticPr fontId="3"/>
  </si>
  <si>
    <t>項目/人</t>
    <rPh sb="0" eb="2">
      <t>コウモク</t>
    </rPh>
    <rPh sb="3" eb="4">
      <t>ニン</t>
    </rPh>
    <phoneticPr fontId="3"/>
  </si>
  <si>
    <t>一人当たり家族数（社員数+社員数*退職割合*年数）</t>
    <rPh sb="0" eb="2">
      <t>ヒトリ</t>
    </rPh>
    <rPh sb="2" eb="3">
      <t>ア</t>
    </rPh>
    <rPh sb="5" eb="7">
      <t>カゾク</t>
    </rPh>
    <rPh sb="7" eb="8">
      <t>スウ</t>
    </rPh>
    <rPh sb="9" eb="11">
      <t>シャイン</t>
    </rPh>
    <rPh sb="13" eb="16">
      <t>シャインスウ</t>
    </rPh>
    <rPh sb="17" eb="19">
      <t>タイショク</t>
    </rPh>
    <rPh sb="19" eb="21">
      <t>ワリアイ</t>
    </rPh>
    <rPh sb="22" eb="24">
      <t>ネンスウ</t>
    </rPh>
    <phoneticPr fontId="3"/>
  </si>
  <si>
    <t>年当たり社員数*一人当たり勤怠項目*年月</t>
    <rPh sb="0" eb="1">
      <t>ネン</t>
    </rPh>
    <rPh sb="1" eb="2">
      <t>ア</t>
    </rPh>
    <rPh sb="4" eb="7">
      <t>シャインスウ</t>
    </rPh>
    <rPh sb="8" eb="10">
      <t>ヒトリ</t>
    </rPh>
    <rPh sb="10" eb="11">
      <t>ア</t>
    </rPh>
    <rPh sb="13" eb="15">
      <t>キンタイ</t>
    </rPh>
    <rPh sb="15" eb="17">
      <t>コウモク</t>
    </rPh>
    <rPh sb="18" eb="20">
      <t>ネンゲツ</t>
    </rPh>
    <phoneticPr fontId="3"/>
  </si>
  <si>
    <t>社員区分の数</t>
    <rPh sb="0" eb="2">
      <t>シャイン</t>
    </rPh>
    <rPh sb="2" eb="4">
      <t>クブン</t>
    </rPh>
    <rPh sb="5" eb="6">
      <t>スウ</t>
    </rPh>
    <phoneticPr fontId="3"/>
  </si>
  <si>
    <t>社員区分別勤怠管理の有無(有:1,無:0)</t>
    <rPh sb="0" eb="2">
      <t>シャイン</t>
    </rPh>
    <rPh sb="2" eb="4">
      <t>クブン</t>
    </rPh>
    <rPh sb="4" eb="5">
      <t>ベツ</t>
    </rPh>
    <rPh sb="5" eb="7">
      <t>キンタイ</t>
    </rPh>
    <rPh sb="7" eb="9">
      <t>カンリ</t>
    </rPh>
    <rPh sb="10" eb="12">
      <t>ウム</t>
    </rPh>
    <rPh sb="13" eb="14">
      <t>アリ</t>
    </rPh>
    <rPh sb="17" eb="18">
      <t>ナ</t>
    </rPh>
    <phoneticPr fontId="3"/>
  </si>
  <si>
    <t>社員区分数*勤怠項目数</t>
    <rPh sb="0" eb="2">
      <t>シャイン</t>
    </rPh>
    <rPh sb="2" eb="4">
      <t>クブン</t>
    </rPh>
    <rPh sb="4" eb="5">
      <t>スウ</t>
    </rPh>
    <rPh sb="6" eb="8">
      <t>キンタイ</t>
    </rPh>
    <rPh sb="8" eb="10">
      <t>コウモク</t>
    </rPh>
    <rPh sb="10" eb="11">
      <t>スウ</t>
    </rPh>
    <phoneticPr fontId="3"/>
  </si>
  <si>
    <t>管理する勤怠項目数</t>
    <rPh sb="0" eb="2">
      <t>カンリ</t>
    </rPh>
    <rPh sb="4" eb="6">
      <t>キンタイ</t>
    </rPh>
    <rPh sb="6" eb="9">
      <t>コウモクスウ</t>
    </rPh>
    <phoneticPr fontId="3"/>
  </si>
  <si>
    <t>仮定：①給与でのパターン数=80
　　　　②勤怠でのパターン数=20
給与計算パターン+勤怠計算パターン</t>
    <rPh sb="0" eb="2">
      <t>カテイ</t>
    </rPh>
    <rPh sb="4" eb="6">
      <t>キュウヨ</t>
    </rPh>
    <rPh sb="12" eb="13">
      <t>スウ</t>
    </rPh>
    <rPh sb="22" eb="24">
      <t>キンタイ</t>
    </rPh>
    <rPh sb="30" eb="31">
      <t>スウ</t>
    </rPh>
    <rPh sb="35" eb="37">
      <t>キュウヨ</t>
    </rPh>
    <rPh sb="37" eb="39">
      <t>ケイサン</t>
    </rPh>
    <rPh sb="44" eb="46">
      <t>キンタイ</t>
    </rPh>
    <rPh sb="46" eb="48">
      <t>ケイサン</t>
    </rPh>
    <phoneticPr fontId="3"/>
  </si>
  <si>
    <t>仮定：項目につき１年に1ﾚｺｰﾄﾞ</t>
    <rPh sb="0" eb="2">
      <t>カテイ</t>
    </rPh>
    <rPh sb="3" eb="5">
      <t>コウモク</t>
    </rPh>
    <rPh sb="9" eb="10">
      <t>ネン</t>
    </rPh>
    <phoneticPr fontId="3"/>
  </si>
  <si>
    <t>社員数*一人当たり給与項目数/2</t>
    <rPh sb="0" eb="2">
      <t>シャイン</t>
    </rPh>
    <rPh sb="2" eb="3">
      <t>スウ</t>
    </rPh>
    <rPh sb="4" eb="6">
      <t>ヒトリ</t>
    </rPh>
    <rPh sb="6" eb="7">
      <t>ア</t>
    </rPh>
    <rPh sb="9" eb="11">
      <t>キュウヨ</t>
    </rPh>
    <rPh sb="11" eb="13">
      <t>コウモク</t>
    </rPh>
    <rPh sb="13" eb="14">
      <t>スウ</t>
    </rPh>
    <phoneticPr fontId="3"/>
  </si>
  <si>
    <t>給与項目数(計算項目含む。個人あたり)</t>
    <rPh sb="0" eb="2">
      <t>キュウヨ</t>
    </rPh>
    <rPh sb="2" eb="5">
      <t>コウモクスウ</t>
    </rPh>
    <rPh sb="6" eb="8">
      <t>ケイサン</t>
    </rPh>
    <rPh sb="8" eb="10">
      <t>コウモク</t>
    </rPh>
    <rPh sb="10" eb="11">
      <t>フク</t>
    </rPh>
    <phoneticPr fontId="3"/>
  </si>
  <si>
    <t>ヶ月</t>
    <rPh sb="1" eb="2">
      <t>ゲツ</t>
    </rPh>
    <phoneticPr fontId="3"/>
  </si>
  <si>
    <t>昇給項目数(計算項目含む。個人あたり)</t>
    <rPh sb="0" eb="2">
      <t>ショウキュウ</t>
    </rPh>
    <rPh sb="2" eb="4">
      <t>コウモク</t>
    </rPh>
    <phoneticPr fontId="3"/>
  </si>
  <si>
    <t>賞与項目数(計算項目含む。個人あたり)</t>
    <rPh sb="0" eb="2">
      <t>ショウヨ</t>
    </rPh>
    <rPh sb="2" eb="4">
      <t>コウモク</t>
    </rPh>
    <phoneticPr fontId="3"/>
  </si>
  <si>
    <t>外部ﾃﾞｰﾀ取込でのエラー発生率</t>
    <rPh sb="0" eb="2">
      <t>ガイブ</t>
    </rPh>
    <rPh sb="6" eb="8">
      <t>トリコミ</t>
    </rPh>
    <rPh sb="13" eb="15">
      <t>ハッセイ</t>
    </rPh>
    <rPh sb="15" eb="16">
      <t>リツ</t>
    </rPh>
    <phoneticPr fontId="3"/>
  </si>
  <si>
    <t>年調データ種別=9</t>
    <rPh sb="0" eb="1">
      <t>ネン</t>
    </rPh>
    <rPh sb="1" eb="2">
      <t>チョウ</t>
    </rPh>
    <rPh sb="5" eb="7">
      <t>シュベツ</t>
    </rPh>
    <phoneticPr fontId="3"/>
  </si>
  <si>
    <t>給与+賞与+昇給（1回）+昇給明細</t>
    <rPh sb="0" eb="2">
      <t>キュウヨ</t>
    </rPh>
    <rPh sb="3" eb="5">
      <t>ショウヨ</t>
    </rPh>
    <rPh sb="6" eb="8">
      <t>ショウキュウ</t>
    </rPh>
    <rPh sb="10" eb="11">
      <t>カイ</t>
    </rPh>
    <rPh sb="13" eb="15">
      <t>ショウキュウ</t>
    </rPh>
    <rPh sb="15" eb="17">
      <t>メイサイ</t>
    </rPh>
    <phoneticPr fontId="3"/>
  </si>
  <si>
    <t>配賦部門数（個人あたり）</t>
    <rPh sb="0" eb="2">
      <t>ハイフ</t>
    </rPh>
    <rPh sb="2" eb="4">
      <t>ブモン</t>
    </rPh>
    <rPh sb="4" eb="5">
      <t>カズ</t>
    </rPh>
    <rPh sb="6" eb="8">
      <t>コジン</t>
    </rPh>
    <phoneticPr fontId="3"/>
  </si>
  <si>
    <t>昇給差額明細書の出力（する:1）</t>
    <rPh sb="0" eb="2">
      <t>ショウキュウ</t>
    </rPh>
    <rPh sb="2" eb="4">
      <t>サガク</t>
    </rPh>
    <rPh sb="4" eb="7">
      <t>メイサイショ</t>
    </rPh>
    <rPh sb="8" eb="10">
      <t>シュツリョク</t>
    </rPh>
    <phoneticPr fontId="3"/>
  </si>
  <si>
    <t>仮定：賃金改定項目割合=10%</t>
    <rPh sb="0" eb="2">
      <t>カテイ</t>
    </rPh>
    <rPh sb="3" eb="5">
      <t>チンギン</t>
    </rPh>
    <rPh sb="5" eb="7">
      <t>カイテイ</t>
    </rPh>
    <rPh sb="7" eb="9">
      <t>コウモク</t>
    </rPh>
    <rPh sb="9" eb="11">
      <t>ワリアイ</t>
    </rPh>
    <phoneticPr fontId="3"/>
  </si>
  <si>
    <t>予測行数</t>
    <rPh sb="0" eb="2">
      <t>ヨソク</t>
    </rPh>
    <rPh sb="2" eb="4">
      <t>ギョウスウ</t>
    </rPh>
    <phoneticPr fontId="3"/>
  </si>
  <si>
    <t>年間賞与回数</t>
    <phoneticPr fontId="3"/>
  </si>
  <si>
    <t>昇給遡及月数</t>
    <phoneticPr fontId="3"/>
  </si>
  <si>
    <t>当初年数</t>
    <rPh sb="0" eb="2">
      <t>トウショ</t>
    </rPh>
    <rPh sb="2" eb="4">
      <t>ネンスウ</t>
    </rPh>
    <phoneticPr fontId="3"/>
  </si>
  <si>
    <t>初期ﾃﾞｰﾀ件数</t>
    <rPh sb="0" eb="2">
      <t>ショキ</t>
    </rPh>
    <rPh sb="6" eb="7">
      <t>ケン</t>
    </rPh>
    <rPh sb="7" eb="8">
      <t>スウ</t>
    </rPh>
    <phoneticPr fontId="3"/>
  </si>
  <si>
    <t>住所マスタ</t>
  </si>
  <si>
    <t>住所変更件数（年間）</t>
    <rPh sb="0" eb="2">
      <t>ジュウショ</t>
    </rPh>
    <rPh sb="2" eb="4">
      <t>ヘンコウ</t>
    </rPh>
    <rPh sb="4" eb="6">
      <t>ケンスウ</t>
    </rPh>
    <rPh sb="7" eb="9">
      <t>ネンカン</t>
    </rPh>
    <phoneticPr fontId="3"/>
  </si>
  <si>
    <t/>
  </si>
  <si>
    <t>給与+賞与+昇給（1回）+昇給明細+社保データ</t>
    <rPh sb="18" eb="19">
      <t>シャ</t>
    </rPh>
    <rPh sb="19" eb="20">
      <t>タモツ</t>
    </rPh>
    <phoneticPr fontId="3"/>
  </si>
  <si>
    <t>UPDATE：1（昇給回数）+（12（ヶ月）*2（社員区分マスタ更新、マスタ更新処理）)+（2*2算定・月変）+1年調確定+1住民税外部データ取込</t>
    <rPh sb="49" eb="51">
      <t>サンテイ</t>
    </rPh>
    <rPh sb="52" eb="53">
      <t>ツキ</t>
    </rPh>
    <rPh sb="53" eb="54">
      <t>ヘン</t>
    </rPh>
    <rPh sb="57" eb="59">
      <t>ネンチョウ</t>
    </rPh>
    <rPh sb="59" eb="61">
      <t>カクテイ</t>
    </rPh>
    <rPh sb="63" eb="66">
      <t>ジュウミンゼイ</t>
    </rPh>
    <rPh sb="66" eb="68">
      <t>ガイブ</t>
    </rPh>
    <rPh sb="71" eb="73">
      <t>トリコミ</t>
    </rPh>
    <phoneticPr fontId="3"/>
  </si>
  <si>
    <t>UPDATE：1年×12ヶ月</t>
    <rPh sb="8" eb="9">
      <t>ネン</t>
    </rPh>
    <rPh sb="13" eb="14">
      <t>ゲツ</t>
    </rPh>
    <phoneticPr fontId="3"/>
  </si>
  <si>
    <t>UPDATE：1年×12ヶ月-1</t>
    <rPh sb="8" eb="9">
      <t>ネン</t>
    </rPh>
    <rPh sb="13" eb="14">
      <t>ゲツ</t>
    </rPh>
    <phoneticPr fontId="3"/>
  </si>
  <si>
    <t>必要ディスク容量</t>
    <phoneticPr fontId="3"/>
  </si>
  <si>
    <t>退職者比率
（給与計算対象者に対する割合）</t>
    <phoneticPr fontId="3"/>
  </si>
  <si>
    <t>%</t>
    <phoneticPr fontId="3"/>
  </si>
  <si>
    <t>勤怠項目数(個人あたり)</t>
    <phoneticPr fontId="3"/>
  </si>
  <si>
    <t>家族数(個人あたり)</t>
    <phoneticPr fontId="3"/>
  </si>
  <si>
    <t>プロジェクト数(個人あたり)</t>
    <phoneticPr fontId="3"/>
  </si>
  <si>
    <t>拡張追加項目数(個人あたり)</t>
    <phoneticPr fontId="3"/>
  </si>
  <si>
    <t>実行端末数</t>
    <phoneticPr fontId="3"/>
  </si>
  <si>
    <t>%</t>
    <phoneticPr fontId="3"/>
  </si>
  <si>
    <t>列データ領域の合計</t>
    <phoneticPr fontId="3"/>
  </si>
  <si>
    <t>必要なサイズ</t>
    <phoneticPr fontId="3"/>
  </si>
  <si>
    <t>件数算出の方法</t>
    <phoneticPr fontId="3"/>
  </si>
  <si>
    <t>HRFBDTRN</t>
    <phoneticPr fontId="3"/>
  </si>
  <si>
    <t>HRFBHTRN</t>
    <phoneticPr fontId="3"/>
  </si>
  <si>
    <t>社員数*退職者比率</t>
    <phoneticPr fontId="3"/>
  </si>
  <si>
    <t>HRREBTRN</t>
    <phoneticPr fontId="3"/>
  </si>
  <si>
    <t>HRRJYTRN</t>
    <phoneticPr fontId="3"/>
  </si>
  <si>
    <t>社員数</t>
    <phoneticPr fontId="3"/>
  </si>
  <si>
    <t>CMLOGHDR</t>
    <phoneticPr fontId="3"/>
  </si>
  <si>
    <t>CMLOGDTL</t>
    <phoneticPr fontId="3"/>
  </si>
  <si>
    <t>退職者比率</t>
    <phoneticPr fontId="3"/>
  </si>
  <si>
    <t>件数算出の方法</t>
    <phoneticPr fontId="3"/>
  </si>
  <si>
    <t>仮定:①社員の30%が1件登録</t>
    <rPh sb="0" eb="2">
      <t>カテイ</t>
    </rPh>
    <rPh sb="4" eb="6">
      <t>シャイン</t>
    </rPh>
    <rPh sb="12" eb="13">
      <t>ケン</t>
    </rPh>
    <rPh sb="13" eb="15">
      <t>トウロク</t>
    </rPh>
    <phoneticPr fontId="3"/>
  </si>
  <si>
    <t>CMHJOMST</t>
    <phoneticPr fontId="3"/>
  </si>
  <si>
    <t>CMLOGHDR</t>
    <phoneticPr fontId="3"/>
  </si>
  <si>
    <t>INS</t>
    <phoneticPr fontId="3"/>
  </si>
  <si>
    <t>UPD</t>
    <phoneticPr fontId="3"/>
  </si>
  <si>
    <t>DEL</t>
    <phoneticPr fontId="3"/>
  </si>
  <si>
    <t>CMLOGDTL</t>
    <phoneticPr fontId="3"/>
  </si>
  <si>
    <t>CMHJOMST</t>
    <phoneticPr fontId="3"/>
  </si>
  <si>
    <t>CMHJYMST</t>
    <phoneticPr fontId="3"/>
  </si>
  <si>
    <t>CMIFYMST</t>
    <phoneticPr fontId="3"/>
  </si>
  <si>
    <t>CMJYOMST</t>
    <phoneticPr fontId="3"/>
  </si>
  <si>
    <t>仮定：プログラム種別(12)×10件</t>
    <rPh sb="0" eb="2">
      <t>カテイ</t>
    </rPh>
    <rPh sb="8" eb="10">
      <t>シュベツ</t>
    </rPh>
    <rPh sb="17" eb="18">
      <t>ケン</t>
    </rPh>
    <phoneticPr fontId="3"/>
  </si>
  <si>
    <t>CMKMTMST</t>
    <phoneticPr fontId="3"/>
  </si>
  <si>
    <t>仮定：10件</t>
    <rPh sb="0" eb="2">
      <t>カテイ</t>
    </rPh>
    <rPh sb="5" eb="6">
      <t>ケン</t>
    </rPh>
    <phoneticPr fontId="3"/>
  </si>
  <si>
    <t>CMKOMMST</t>
    <phoneticPr fontId="3"/>
  </si>
  <si>
    <t>仮定：給与、賞与、昇給項目+初期データ項目</t>
    <rPh sb="0" eb="2">
      <t>カテイ</t>
    </rPh>
    <rPh sb="3" eb="5">
      <t>キュウヨ</t>
    </rPh>
    <rPh sb="6" eb="8">
      <t>ショウヨ</t>
    </rPh>
    <rPh sb="9" eb="11">
      <t>ショウキュウ</t>
    </rPh>
    <rPh sb="11" eb="13">
      <t>コウモク</t>
    </rPh>
    <rPh sb="14" eb="16">
      <t>ショキ</t>
    </rPh>
    <rPh sb="19" eb="21">
      <t>コウモク</t>
    </rPh>
    <phoneticPr fontId="3"/>
  </si>
  <si>
    <t>CMMB2MST</t>
    <phoneticPr fontId="3"/>
  </si>
  <si>
    <t>CMSYAMST</t>
    <phoneticPr fontId="3"/>
  </si>
  <si>
    <t>社員数</t>
    <rPh sb="0" eb="3">
      <t>シャインスウ</t>
    </rPh>
    <phoneticPr fontId="3"/>
  </si>
  <si>
    <t>SuperStream-NX PR</t>
    <phoneticPr fontId="14"/>
  </si>
  <si>
    <t>社員数*会計連携用科目数</t>
    <rPh sb="4" eb="6">
      <t>カイケイ</t>
    </rPh>
    <rPh sb="6" eb="8">
      <t>レンケイ</t>
    </rPh>
    <rPh sb="8" eb="9">
      <t>ヨウ</t>
    </rPh>
    <rPh sb="9" eb="12">
      <t>カモクスウ</t>
    </rPh>
    <phoneticPr fontId="3"/>
  </si>
  <si>
    <t>会計連携用科目数</t>
    <rPh sb="0" eb="2">
      <t>カイケイ</t>
    </rPh>
    <rPh sb="2" eb="4">
      <t>レンケイ</t>
    </rPh>
    <rPh sb="4" eb="5">
      <t>ヨウ</t>
    </rPh>
    <rPh sb="5" eb="7">
      <t>カモク</t>
    </rPh>
    <rPh sb="7" eb="8">
      <t>スウ</t>
    </rPh>
    <phoneticPr fontId="3"/>
  </si>
  <si>
    <t>人事給与共通</t>
    <rPh sb="0" eb="2">
      <t>ジンジ</t>
    </rPh>
    <rPh sb="2" eb="4">
      <t>キュウヨ</t>
    </rPh>
    <rPh sb="4" eb="6">
      <t>キョウツウ</t>
    </rPh>
    <phoneticPr fontId="14"/>
  </si>
  <si>
    <t>SuperStream-NX RE</t>
    <phoneticPr fontId="14"/>
  </si>
  <si>
    <t>NXRNKINF</t>
  </si>
  <si>
    <t>NXMRKMST</t>
  </si>
  <si>
    <t>NXMRIMST</t>
  </si>
  <si>
    <t>NXSRKMST</t>
  </si>
  <si>
    <t>NXNARINF</t>
  </si>
  <si>
    <t>NXSYSMST</t>
  </si>
  <si>
    <t>NXDGRMST</t>
  </si>
  <si>
    <t>NXDGTMST</t>
  </si>
  <si>
    <t>NXGNJWRK</t>
  </si>
  <si>
    <t>NXRNKINF</t>
    <phoneticPr fontId="3"/>
  </si>
  <si>
    <t>仕訳連携の実施者設定のみ</t>
    <rPh sb="0" eb="2">
      <t>シワケ</t>
    </rPh>
    <rPh sb="2" eb="4">
      <t>レンケイ</t>
    </rPh>
    <rPh sb="5" eb="8">
      <t>ジッシシャ</t>
    </rPh>
    <rPh sb="8" eb="10">
      <t>セッテイ</t>
    </rPh>
    <phoneticPr fontId="3"/>
  </si>
  <si>
    <t>ＮＸ連動 実施ユーザ数（総務、経理の各担当）</t>
    <rPh sb="2" eb="4">
      <t>レンドウ</t>
    </rPh>
    <rPh sb="5" eb="7">
      <t>ジッシ</t>
    </rPh>
    <rPh sb="10" eb="11">
      <t>スウ</t>
    </rPh>
    <rPh sb="12" eb="14">
      <t>ソウム</t>
    </rPh>
    <rPh sb="15" eb="17">
      <t>ケイリ</t>
    </rPh>
    <rPh sb="18" eb="19">
      <t>カク</t>
    </rPh>
    <rPh sb="19" eb="21">
      <t>タントウ</t>
    </rPh>
    <phoneticPr fontId="3"/>
  </si>
  <si>
    <t>ＮＸマスタ連携のパターン数（内デフォルトで追加される自動連携分は4件）</t>
    <rPh sb="5" eb="7">
      <t>レンケイ</t>
    </rPh>
    <rPh sb="12" eb="13">
      <t>スウ</t>
    </rPh>
    <rPh sb="14" eb="15">
      <t>ウチ</t>
    </rPh>
    <rPh sb="21" eb="23">
      <t>ツイカ</t>
    </rPh>
    <rPh sb="26" eb="28">
      <t>ジドウ</t>
    </rPh>
    <rPh sb="28" eb="30">
      <t>レンケイ</t>
    </rPh>
    <rPh sb="30" eb="31">
      <t>ブン</t>
    </rPh>
    <rPh sb="33" eb="34">
      <t>ケン</t>
    </rPh>
    <phoneticPr fontId="3"/>
  </si>
  <si>
    <t>ＮＸ連携のマスタ種別数</t>
    <rPh sb="2" eb="4">
      <t>レンケイ</t>
    </rPh>
    <rPh sb="8" eb="10">
      <t>シュベツ</t>
    </rPh>
    <rPh sb="10" eb="11">
      <t>スウ</t>
    </rPh>
    <phoneticPr fontId="3"/>
  </si>
  <si>
    <t>仮定：30件</t>
    <rPh sb="0" eb="2">
      <t>カテイ</t>
    </rPh>
    <rPh sb="5" eb="6">
      <t>ケン</t>
    </rPh>
    <phoneticPr fontId="3"/>
  </si>
  <si>
    <t>仮定：1件</t>
    <rPh sb="0" eb="2">
      <t>カテイ</t>
    </rPh>
    <rPh sb="4" eb="5">
      <t>ケン</t>
    </rPh>
    <phoneticPr fontId="3"/>
  </si>
  <si>
    <t>伝票対応数（給与、賞与、年末調整、昇給差額、退職金引当金計上、退職金）</t>
    <rPh sb="0" eb="2">
      <t>デンピョウ</t>
    </rPh>
    <rPh sb="2" eb="4">
      <t>タイオウ</t>
    </rPh>
    <rPh sb="4" eb="5">
      <t>スウ</t>
    </rPh>
    <rPh sb="6" eb="8">
      <t>キュウヨ</t>
    </rPh>
    <rPh sb="9" eb="11">
      <t>ショウヨ</t>
    </rPh>
    <rPh sb="12" eb="14">
      <t>ネンマツ</t>
    </rPh>
    <rPh sb="14" eb="16">
      <t>チョウセイ</t>
    </rPh>
    <rPh sb="17" eb="19">
      <t>ショウキュウ</t>
    </rPh>
    <rPh sb="19" eb="21">
      <t>サガク</t>
    </rPh>
    <rPh sb="22" eb="25">
      <t>タイショクキン</t>
    </rPh>
    <rPh sb="25" eb="27">
      <t>ヒキアテ</t>
    </rPh>
    <rPh sb="27" eb="28">
      <t>キン</t>
    </rPh>
    <rPh sb="28" eb="30">
      <t>ケイジョウ</t>
    </rPh>
    <rPh sb="31" eb="34">
      <t>タイショクキン</t>
    </rPh>
    <phoneticPr fontId="3"/>
  </si>
  <si>
    <t>PRCH1MST</t>
    <phoneticPr fontId="3"/>
  </si>
  <si>
    <t>PRCH2MST</t>
    <phoneticPr fontId="3"/>
  </si>
  <si>
    <t>PRCHKMST</t>
    <phoneticPr fontId="3"/>
  </si>
  <si>
    <t>PRHP1MST</t>
    <phoneticPr fontId="3"/>
  </si>
  <si>
    <t>PRHP2MST</t>
    <phoneticPr fontId="3"/>
  </si>
  <si>
    <t>PRJNTMST</t>
    <phoneticPr fontId="3"/>
  </si>
  <si>
    <t>PRJSKMST</t>
    <phoneticPr fontId="3"/>
  </si>
  <si>
    <t>PRJSMMST</t>
    <phoneticPr fontId="3"/>
  </si>
  <si>
    <t>PRKBNMST</t>
    <phoneticPr fontId="3"/>
  </si>
  <si>
    <t>PRKIKMST</t>
    <phoneticPr fontId="3"/>
  </si>
  <si>
    <t>PRKINMST</t>
    <phoneticPr fontId="3"/>
  </si>
  <si>
    <t>PRKJOMST</t>
    <phoneticPr fontId="3"/>
  </si>
  <si>
    <t>PRKPTMST</t>
    <phoneticPr fontId="3"/>
  </si>
  <si>
    <t>PRKTHMST</t>
    <phoneticPr fontId="3"/>
  </si>
  <si>
    <t>PRKTUMST</t>
    <phoneticPr fontId="3"/>
  </si>
  <si>
    <t>PRKY1MST</t>
    <phoneticPr fontId="3"/>
  </si>
  <si>
    <t>PRKY2MST</t>
    <phoneticPr fontId="3"/>
  </si>
  <si>
    <t>PRKYOMST</t>
    <phoneticPr fontId="3"/>
  </si>
  <si>
    <t>PRNCHMST</t>
    <phoneticPr fontId="3"/>
  </si>
  <si>
    <t>PRNCJMST</t>
    <phoneticPr fontId="3"/>
  </si>
  <si>
    <t>仮定値：①仕訳対象項目=1000</t>
  </si>
  <si>
    <t>遡及月*社員</t>
  </si>
  <si>
    <t>仮定値：①続柄数1.5</t>
  </si>
  <si>
    <t>本務+作業部門+費用計上部門+プロジェクト</t>
  </si>
  <si>
    <t>社員数*4</t>
  </si>
  <si>
    <t>仮定：①賞与項目の30%がエントリ項目</t>
  </si>
  <si>
    <t>オールブランク会社コードの件数</t>
  </si>
  <si>
    <t>PRNCKMST</t>
  </si>
  <si>
    <t>年数分</t>
  </si>
  <si>
    <t>仮定:3件</t>
  </si>
  <si>
    <t>PRKHPMST</t>
  </si>
  <si>
    <t>仮定：給与項目の50%の3パターン</t>
  </si>
  <si>
    <t>PRSYYMST</t>
  </si>
  <si>
    <t>仮定：健康保険、厚生年金、介護、基金の3パターン×予約データ2ヶ月分</t>
  </si>
  <si>
    <t>ブロックサイズ：</t>
    <phoneticPr fontId="3"/>
  </si>
  <si>
    <t>（MB）</t>
    <phoneticPr fontId="3"/>
  </si>
  <si>
    <t>必要なサイズ</t>
    <phoneticPr fontId="3"/>
  </si>
  <si>
    <t>PRNC2MST</t>
    <phoneticPr fontId="3"/>
  </si>
  <si>
    <t>PRS2DMST</t>
    <phoneticPr fontId="3"/>
  </si>
  <si>
    <t>仮定値：①続柄数1.5</t>
    <phoneticPr fontId="3"/>
  </si>
  <si>
    <t>CMLOGHDR</t>
    <phoneticPr fontId="3"/>
  </si>
  <si>
    <t>CMLOGDTL</t>
    <phoneticPr fontId="3"/>
  </si>
  <si>
    <t>PRSHKMST</t>
    <phoneticPr fontId="3"/>
  </si>
  <si>
    <t>PRSSTMST</t>
    <phoneticPr fontId="3"/>
  </si>
  <si>
    <t>PRSYAMST</t>
    <phoneticPr fontId="3"/>
  </si>
  <si>
    <t>PRSYHMST</t>
    <phoneticPr fontId="3"/>
  </si>
  <si>
    <t>PRTAXMST</t>
    <phoneticPr fontId="3"/>
  </si>
  <si>
    <t>PRNCKMST</t>
    <phoneticPr fontId="3"/>
  </si>
  <si>
    <t>PRBNKTRN</t>
    <phoneticPr fontId="3"/>
  </si>
  <si>
    <t>PRKHPMST</t>
    <phoneticPr fontId="3"/>
  </si>
  <si>
    <t>PRSYYMST</t>
    <phoneticPr fontId="3"/>
  </si>
  <si>
    <t>PRSKHMST</t>
  </si>
  <si>
    <t>社員数*3年</t>
    <rPh sb="5" eb="6">
      <t>ネン</t>
    </rPh>
    <phoneticPr fontId="3"/>
  </si>
  <si>
    <t>ﾏｲﾅﾝﾊﾞｰ更新</t>
    <rPh sb="7" eb="9">
      <t>コウシン</t>
    </rPh>
    <phoneticPr fontId="3"/>
  </si>
  <si>
    <t>[社員数+（社員数*家族数)]+[社員数+（社員数*家族数)]*修正比率*2+[社員数+（社員数*家族数)]*退職者比率</t>
    <rPh sb="1" eb="3">
      <t>シャイン</t>
    </rPh>
    <rPh sb="3" eb="4">
      <t>スウ</t>
    </rPh>
    <rPh sb="6" eb="9">
      <t>シャインスウ</t>
    </rPh>
    <rPh sb="10" eb="12">
      <t>カゾク</t>
    </rPh>
    <rPh sb="12" eb="13">
      <t>スウ</t>
    </rPh>
    <rPh sb="32" eb="34">
      <t>シュウセイ</t>
    </rPh>
    <rPh sb="34" eb="36">
      <t>ヒリツ</t>
    </rPh>
    <rPh sb="55" eb="58">
      <t>タイショクシャ</t>
    </rPh>
    <rPh sb="58" eb="60">
      <t>ヒリツ</t>
    </rPh>
    <phoneticPr fontId="3"/>
  </si>
  <si>
    <t>ﾏｲﾅﾝﾊﾞｰｲﾒｰｼﾞ更新</t>
    <rPh sb="12" eb="14">
      <t>コウシン</t>
    </rPh>
    <phoneticPr fontId="3"/>
  </si>
  <si>
    <t>[(社員数+（社員数*家族数))*証憑数]+[(社員数+（社員数*家族数))*証憑数]*修正比率*2+[(社員数+（社員数*家族数))*証憑数]*退職者比率</t>
    <rPh sb="17" eb="19">
      <t>ショウヒョウ</t>
    </rPh>
    <rPh sb="19" eb="20">
      <t>スウ</t>
    </rPh>
    <rPh sb="44" eb="46">
      <t>シュウセイ</t>
    </rPh>
    <rPh sb="46" eb="48">
      <t>ヒリツ</t>
    </rPh>
    <rPh sb="73" eb="76">
      <t>タイショクシャ</t>
    </rPh>
    <rPh sb="76" eb="78">
      <t>ヒリツ</t>
    </rPh>
    <phoneticPr fontId="3"/>
  </si>
  <si>
    <t>ﾏｲﾅﾝﾊﾞｰ参照</t>
    <rPh sb="7" eb="9">
      <t>サンショウ</t>
    </rPh>
    <phoneticPr fontId="3"/>
  </si>
  <si>
    <t>[社員数+（社員数*家族数)]*マイナンバー参照回数*年数</t>
    <rPh sb="1" eb="3">
      <t>シャイン</t>
    </rPh>
    <rPh sb="3" eb="4">
      <t>スウ</t>
    </rPh>
    <rPh sb="6" eb="9">
      <t>シャインスウ</t>
    </rPh>
    <rPh sb="10" eb="12">
      <t>カゾク</t>
    </rPh>
    <rPh sb="12" eb="13">
      <t>スウ</t>
    </rPh>
    <rPh sb="22" eb="24">
      <t>サンショウ</t>
    </rPh>
    <rPh sb="24" eb="26">
      <t>カイスウ</t>
    </rPh>
    <rPh sb="27" eb="29">
      <t>ネンスウ</t>
    </rPh>
    <phoneticPr fontId="3"/>
  </si>
  <si>
    <t>[社員数+（社員数*家族数)]*証憑数*証憑参照回数*年数</t>
    <rPh sb="16" eb="18">
      <t>ショウヒョウ</t>
    </rPh>
    <rPh sb="18" eb="19">
      <t>スウ</t>
    </rPh>
    <rPh sb="20" eb="22">
      <t>ショウヒョウ</t>
    </rPh>
    <rPh sb="22" eb="24">
      <t>サンショウ</t>
    </rPh>
    <rPh sb="24" eb="26">
      <t>カイスウ</t>
    </rPh>
    <rPh sb="27" eb="29">
      <t>ネンスウ</t>
    </rPh>
    <phoneticPr fontId="3"/>
  </si>
  <si>
    <t>※会社１社分の計算です。複数社ある</t>
    <phoneticPr fontId="3"/>
  </si>
  <si>
    <t>家族数(個人あたり)</t>
    <rPh sb="4" eb="6">
      <t>コジン</t>
    </rPh>
    <phoneticPr fontId="3"/>
  </si>
  <si>
    <t>マイナンバー参照回数（年間）</t>
    <rPh sb="6" eb="8">
      <t>サンショウ</t>
    </rPh>
    <rPh sb="8" eb="10">
      <t>カイスウ</t>
    </rPh>
    <rPh sb="11" eb="13">
      <t>ネンカン</t>
    </rPh>
    <phoneticPr fontId="3"/>
  </si>
  <si>
    <t>マイナンバー修正比率</t>
    <rPh sb="6" eb="8">
      <t>シュウセイ</t>
    </rPh>
    <rPh sb="8" eb="10">
      <t>ヒリツ</t>
    </rPh>
    <phoneticPr fontId="3"/>
  </si>
  <si>
    <t>％</t>
    <phoneticPr fontId="3"/>
  </si>
  <si>
    <t>退職者比率</t>
    <rPh sb="0" eb="3">
      <t>タイショクシャ</t>
    </rPh>
    <rPh sb="3" eb="5">
      <t>ヒリツ</t>
    </rPh>
    <phoneticPr fontId="3"/>
  </si>
  <si>
    <t>証憑数(個人あたり)</t>
    <rPh sb="0" eb="2">
      <t>ショウヒョウ</t>
    </rPh>
    <rPh sb="4" eb="6">
      <t>コジン</t>
    </rPh>
    <phoneticPr fontId="3"/>
  </si>
  <si>
    <t>証憑参照回数（年間）</t>
    <rPh sb="0" eb="2">
      <t>ショウヒョウ</t>
    </rPh>
    <rPh sb="2" eb="4">
      <t>サンショウ</t>
    </rPh>
    <rPh sb="4" eb="6">
      <t>カイスウ</t>
    </rPh>
    <rPh sb="7" eb="9">
      <t>ネンカン</t>
    </rPh>
    <phoneticPr fontId="3"/>
  </si>
  <si>
    <t>平均的行サイズ（計算結果）</t>
    <phoneticPr fontId="3"/>
  </si>
  <si>
    <t>予測行数</t>
    <rPh sb="2" eb="4">
      <t>ギョウスウ</t>
    </rPh>
    <phoneticPr fontId="3"/>
  </si>
  <si>
    <t>社員 ： 退職者・内定者を省いたもの　登録社員 ： 退職者・内定者を含めたもの</t>
    <rPh sb="0" eb="2">
      <t>シャイン</t>
    </rPh>
    <rPh sb="5" eb="7">
      <t>タイショク</t>
    </rPh>
    <rPh sb="7" eb="8">
      <t>シャ</t>
    </rPh>
    <rPh sb="9" eb="11">
      <t>ナイテイ</t>
    </rPh>
    <rPh sb="11" eb="12">
      <t>シャ</t>
    </rPh>
    <rPh sb="13" eb="14">
      <t>ハブ</t>
    </rPh>
    <rPh sb="19" eb="21">
      <t>トウロク</t>
    </rPh>
    <rPh sb="21" eb="23">
      <t>シャイン</t>
    </rPh>
    <rPh sb="26" eb="28">
      <t>タイショク</t>
    </rPh>
    <rPh sb="28" eb="29">
      <t>シャ</t>
    </rPh>
    <rPh sb="30" eb="32">
      <t>ナイテイ</t>
    </rPh>
    <rPh sb="32" eb="33">
      <t>シャ</t>
    </rPh>
    <rPh sb="34" eb="35">
      <t>フク</t>
    </rPh>
    <phoneticPr fontId="3"/>
  </si>
  <si>
    <t>HRBHNMST</t>
  </si>
  <si>
    <t>（当初</t>
    <rPh sb="1" eb="3">
      <t>トウショ</t>
    </rPh>
    <phoneticPr fontId="3"/>
  </si>
  <si>
    <t>年分）</t>
    <rPh sb="0" eb="1">
      <t>ネン</t>
    </rPh>
    <rPh sb="1" eb="2">
      <t>ブン</t>
    </rPh>
    <phoneticPr fontId="3"/>
  </si>
  <si>
    <t>HRBSRMST</t>
  </si>
  <si>
    <t>資料請求</t>
    <rPh sb="0" eb="2">
      <t>シリョウ</t>
    </rPh>
    <rPh sb="2" eb="4">
      <t>セイキュウ</t>
    </rPh>
    <phoneticPr fontId="3"/>
  </si>
  <si>
    <t>毎年　社員の　20％ずつ増加を想定</t>
    <rPh sb="0" eb="2">
      <t>マイトシ</t>
    </rPh>
    <rPh sb="3" eb="5">
      <t>シャイン</t>
    </rPh>
    <rPh sb="12" eb="14">
      <t>ゾウカ</t>
    </rPh>
    <rPh sb="15" eb="17">
      <t>ソウテイ</t>
    </rPh>
    <phoneticPr fontId="3"/>
  </si>
  <si>
    <t>ログインユーザー数　５名　操作端末それぞれ１台</t>
    <rPh sb="8" eb="9">
      <t>スウ</t>
    </rPh>
    <rPh sb="11" eb="12">
      <t>メイ</t>
    </rPh>
    <rPh sb="13" eb="15">
      <t>ソウサ</t>
    </rPh>
    <rPh sb="15" eb="17">
      <t>タンマツ</t>
    </rPh>
    <rPh sb="22" eb="23">
      <t>ダイ</t>
    </rPh>
    <phoneticPr fontId="3"/>
  </si>
  <si>
    <t>HRBYKMST</t>
  </si>
  <si>
    <t>募集要項</t>
    <rPh sb="0" eb="2">
      <t>ボシュウ</t>
    </rPh>
    <rPh sb="2" eb="4">
      <t>ヨウコウ</t>
    </rPh>
    <phoneticPr fontId="3"/>
  </si>
  <si>
    <t>異動分類　10件　部門　50件　項目10件を想定</t>
    <rPh sb="0" eb="2">
      <t>イドウ</t>
    </rPh>
    <rPh sb="2" eb="4">
      <t>ブンルイ</t>
    </rPh>
    <rPh sb="7" eb="8">
      <t>ケン</t>
    </rPh>
    <rPh sb="9" eb="11">
      <t>ブモン</t>
    </rPh>
    <rPh sb="14" eb="15">
      <t>ケン</t>
    </rPh>
    <rPh sb="16" eb="18">
      <t>コウモク</t>
    </rPh>
    <rPh sb="20" eb="21">
      <t>ケン</t>
    </rPh>
    <rPh sb="22" eb="24">
      <t>ソウテイ</t>
    </rPh>
    <phoneticPr fontId="3"/>
  </si>
  <si>
    <t>社員数　</t>
    <rPh sb="0" eb="3">
      <t>シャインスウ</t>
    </rPh>
    <phoneticPr fontId="3"/>
  </si>
  <si>
    <t>HRCTGMST</t>
  </si>
  <si>
    <t>退職者比率（対社員）</t>
    <rPh sb="0" eb="2">
      <t>タイショク</t>
    </rPh>
    <rPh sb="2" eb="3">
      <t>シャ</t>
    </rPh>
    <rPh sb="3" eb="5">
      <t>ヒリツ</t>
    </rPh>
    <rPh sb="6" eb="7">
      <t>タイ</t>
    </rPh>
    <rPh sb="7" eb="9">
      <t>シャイン</t>
    </rPh>
    <phoneticPr fontId="3"/>
  </si>
  <si>
    <t>HRCTLMST</t>
  </si>
  <si>
    <t>HRDCBMST</t>
  </si>
  <si>
    <t>台帳基準</t>
    <rPh sb="0" eb="2">
      <t>ダイチョウ</t>
    </rPh>
    <rPh sb="2" eb="4">
      <t>キジュン</t>
    </rPh>
    <phoneticPr fontId="3"/>
  </si>
  <si>
    <t>１０フォームを想定</t>
    <rPh sb="7" eb="9">
      <t>ソウテイ</t>
    </rPh>
    <phoneticPr fontId="3"/>
  </si>
  <si>
    <t>※会社１社分の計算です。複数社ある　場合には、別々に計算して合計して下さい。</t>
    <rPh sb="1" eb="3">
      <t>カイシャ</t>
    </rPh>
    <rPh sb="4" eb="5">
      <t>シャ</t>
    </rPh>
    <rPh sb="5" eb="6">
      <t>ブン</t>
    </rPh>
    <rPh sb="7" eb="9">
      <t>ケイサン</t>
    </rPh>
    <rPh sb="12" eb="14">
      <t>フクスウ</t>
    </rPh>
    <rPh sb="14" eb="15">
      <t>シャ</t>
    </rPh>
    <phoneticPr fontId="3"/>
  </si>
  <si>
    <t>HRDCJMST</t>
  </si>
  <si>
    <t>台帳条件</t>
    <rPh sb="0" eb="2">
      <t>ダイチョウ</t>
    </rPh>
    <rPh sb="2" eb="4">
      <t>ジョウケン</t>
    </rPh>
    <phoneticPr fontId="3"/>
  </si>
  <si>
    <t>１フォーム3グループ想定</t>
    <rPh sb="10" eb="12">
      <t>ソウテイ</t>
    </rPh>
    <phoneticPr fontId="3"/>
  </si>
  <si>
    <t>HRDCMMST</t>
  </si>
  <si>
    <t>台帳明細</t>
    <rPh sb="0" eb="2">
      <t>ダイチョウ</t>
    </rPh>
    <rPh sb="2" eb="4">
      <t>メイサイ</t>
    </rPh>
    <phoneticPr fontId="3"/>
  </si>
  <si>
    <t>１グループ３項目想定</t>
    <rPh sb="6" eb="8">
      <t>コウモク</t>
    </rPh>
    <rPh sb="8" eb="10">
      <t>ソウテイ</t>
    </rPh>
    <phoneticPr fontId="3"/>
  </si>
  <si>
    <t>HRDOCMST</t>
  </si>
  <si>
    <t>ワード差込</t>
    <rPh sb="3" eb="5">
      <t>サシコミ</t>
    </rPh>
    <phoneticPr fontId="3"/>
  </si>
  <si>
    <t>100フォームを想定</t>
    <rPh sb="8" eb="10">
      <t>ソウテイ</t>
    </rPh>
    <phoneticPr fontId="3"/>
  </si>
  <si>
    <t>以下のテーブルの項目数、桁数の平均値を入力(青色の箇所)</t>
    <rPh sb="0" eb="2">
      <t>イカ</t>
    </rPh>
    <rPh sb="8" eb="11">
      <t>コウモクスウ</t>
    </rPh>
    <rPh sb="12" eb="14">
      <t>ケタスウ</t>
    </rPh>
    <rPh sb="15" eb="18">
      <t>ヘイキンチ</t>
    </rPh>
    <rPh sb="19" eb="21">
      <t>ニュウリョク</t>
    </rPh>
    <rPh sb="22" eb="24">
      <t>アオイロ</t>
    </rPh>
    <rPh sb="25" eb="27">
      <t>カショ</t>
    </rPh>
    <phoneticPr fontId="3"/>
  </si>
  <si>
    <t>してください。デフォルトはMAX値。</t>
    <rPh sb="16" eb="17">
      <t>チ</t>
    </rPh>
    <phoneticPr fontId="3"/>
  </si>
  <si>
    <t>HRGKRMST</t>
  </si>
  <si>
    <t>学歴マスタ</t>
    <rPh sb="0" eb="2">
      <t>ガクレキ</t>
    </rPh>
    <phoneticPr fontId="3"/>
  </si>
  <si>
    <t>１登録社員　５件を想定</t>
    <rPh sb="1" eb="3">
      <t>トウロク</t>
    </rPh>
    <rPh sb="3" eb="5">
      <t>シャイン</t>
    </rPh>
    <rPh sb="7" eb="8">
      <t>ケン</t>
    </rPh>
    <rPh sb="9" eb="11">
      <t>ソウテイ</t>
    </rPh>
    <phoneticPr fontId="3"/>
  </si>
  <si>
    <t>HRGRPMST</t>
  </si>
  <si>
    <t>団体情報</t>
    <rPh sb="0" eb="2">
      <t>ダンタイ</t>
    </rPh>
    <rPh sb="2" eb="4">
      <t>ジョウホウ</t>
    </rPh>
    <phoneticPr fontId="3"/>
  </si>
  <si>
    <t>１登録社員　１件を想定</t>
    <rPh sb="1" eb="3">
      <t>トウロク</t>
    </rPh>
    <rPh sb="3" eb="5">
      <t>シャイン</t>
    </rPh>
    <rPh sb="7" eb="8">
      <t>ケン</t>
    </rPh>
    <rPh sb="9" eb="11">
      <t>ソウテイ</t>
    </rPh>
    <phoneticPr fontId="3"/>
  </si>
  <si>
    <t>検診履歴マスタ(HRKNKMST)</t>
    <rPh sb="0" eb="2">
      <t>ケンシン</t>
    </rPh>
    <rPh sb="2" eb="4">
      <t>リレキ</t>
    </rPh>
    <phoneticPr fontId="3"/>
  </si>
  <si>
    <t>項目数
(MAX:200)</t>
    <rPh sb="0" eb="3">
      <t>コウモクスウ</t>
    </rPh>
    <phoneticPr fontId="3"/>
  </si>
  <si>
    <t>桁数
(MAX:60)</t>
    <rPh sb="0" eb="2">
      <t>ケタスウ</t>
    </rPh>
    <phoneticPr fontId="3"/>
  </si>
  <si>
    <t>HRGRUMST</t>
  </si>
  <si>
    <t>退避用・検診履歴マスタ(HRKNKWRK)</t>
    <rPh sb="0" eb="3">
      <t>タイヒヨウ</t>
    </rPh>
    <rPh sb="4" eb="6">
      <t>ケンシン</t>
    </rPh>
    <rPh sb="6" eb="8">
      <t>リレキ</t>
    </rPh>
    <phoneticPr fontId="3"/>
  </si>
  <si>
    <t>HRHKHMST</t>
  </si>
  <si>
    <t>検診項目数、検診項目名称桁数</t>
    <rPh sb="0" eb="2">
      <t>ケンシン</t>
    </rPh>
    <rPh sb="2" eb="4">
      <t>コウモク</t>
    </rPh>
    <rPh sb="4" eb="5">
      <t>スウ</t>
    </rPh>
    <rPh sb="6" eb="8">
      <t>ケンシン</t>
    </rPh>
    <rPh sb="8" eb="10">
      <t>コウモク</t>
    </rPh>
    <rPh sb="10" eb="12">
      <t>メイショウ</t>
    </rPh>
    <rPh sb="12" eb="14">
      <t>ケタスウ</t>
    </rPh>
    <phoneticPr fontId="3"/>
  </si>
  <si>
    <t>HRHKJMST</t>
  </si>
  <si>
    <t>汎用検索条件</t>
    <rPh sb="0" eb="2">
      <t>ハンヨウ</t>
    </rPh>
    <rPh sb="2" eb="4">
      <t>ケンサク</t>
    </rPh>
    <rPh sb="4" eb="6">
      <t>ジョウケン</t>
    </rPh>
    <phoneticPr fontId="3"/>
  </si>
  <si>
    <t>HRHKSMST</t>
  </si>
  <si>
    <t>評価シート</t>
    <rPh sb="0" eb="2">
      <t>ヒョウカ</t>
    </rPh>
    <phoneticPr fontId="3"/>
  </si>
  <si>
    <t>考課目的　５件　考課グループ　２０件　を想定</t>
    <rPh sb="0" eb="2">
      <t>コウカ</t>
    </rPh>
    <rPh sb="2" eb="4">
      <t>モクテキ</t>
    </rPh>
    <rPh sb="6" eb="7">
      <t>ケン</t>
    </rPh>
    <rPh sb="8" eb="10">
      <t>コウカ</t>
    </rPh>
    <rPh sb="17" eb="18">
      <t>ケン</t>
    </rPh>
    <rPh sb="20" eb="22">
      <t>ソウテイ</t>
    </rPh>
    <phoneticPr fontId="3"/>
  </si>
  <si>
    <t>個人情報拡張マスタ(HRKJ2MST)</t>
    <rPh sb="0" eb="2">
      <t>コジン</t>
    </rPh>
    <rPh sb="2" eb="4">
      <t>ジョウホウ</t>
    </rPh>
    <rPh sb="4" eb="6">
      <t>カクチョウ</t>
    </rPh>
    <phoneticPr fontId="3"/>
  </si>
  <si>
    <t>-</t>
    <phoneticPr fontId="3"/>
  </si>
  <si>
    <t>桁数
(MAX:255)</t>
    <rPh sb="0" eb="2">
      <t>ケタスウ</t>
    </rPh>
    <phoneticPr fontId="3"/>
  </si>
  <si>
    <t>HRHSKMST</t>
  </si>
  <si>
    <t>保有資格</t>
    <rPh sb="0" eb="2">
      <t>ホユウ</t>
    </rPh>
    <rPh sb="2" eb="4">
      <t>シカク</t>
    </rPh>
    <phoneticPr fontId="3"/>
  </si>
  <si>
    <t>１登録社員　３件を想定</t>
    <rPh sb="1" eb="3">
      <t>トウロク</t>
    </rPh>
    <rPh sb="3" eb="5">
      <t>シャイン</t>
    </rPh>
    <rPh sb="7" eb="8">
      <t>ケン</t>
    </rPh>
    <rPh sb="9" eb="11">
      <t>ソウテイ</t>
    </rPh>
    <phoneticPr fontId="3"/>
  </si>
  <si>
    <t>退避用・個人情報拡張マスタ(HRKJ2WRK)</t>
    <rPh sb="0" eb="3">
      <t>タイヒヨウ</t>
    </rPh>
    <rPh sb="4" eb="6">
      <t>コジン</t>
    </rPh>
    <rPh sb="6" eb="8">
      <t>ジョウホウ</t>
    </rPh>
    <rPh sb="8" eb="10">
      <t>カクチョウ</t>
    </rPh>
    <phoneticPr fontId="3"/>
  </si>
  <si>
    <t>HRHYDMST</t>
  </si>
  <si>
    <t>拡張テキスト項目桁数</t>
    <rPh sb="0" eb="2">
      <t>カクチョウ</t>
    </rPh>
    <rPh sb="6" eb="8">
      <t>コウモク</t>
    </rPh>
    <rPh sb="8" eb="10">
      <t>ケタスウ</t>
    </rPh>
    <phoneticPr fontId="3"/>
  </si>
  <si>
    <t>HRHYHMST</t>
  </si>
  <si>
    <t>HRIBIMST</t>
  </si>
  <si>
    <t>汎用検索結果ファイル(HRSYKTRN)</t>
    <rPh sb="0" eb="2">
      <t>ハンヨウ</t>
    </rPh>
    <rPh sb="2" eb="4">
      <t>ケンサク</t>
    </rPh>
    <rPh sb="4" eb="6">
      <t>ケッカ</t>
    </rPh>
    <phoneticPr fontId="3"/>
  </si>
  <si>
    <t>項目数
(MAX:254)</t>
    <rPh sb="0" eb="3">
      <t>コウモクスウ</t>
    </rPh>
    <phoneticPr fontId="3"/>
  </si>
  <si>
    <t>HRIBKMST</t>
  </si>
  <si>
    <t>HRIDHTRN</t>
  </si>
  <si>
    <t>異動発令</t>
    <rPh sb="0" eb="2">
      <t>イドウ</t>
    </rPh>
    <rPh sb="2" eb="4">
      <t>ハツレイ</t>
    </rPh>
    <phoneticPr fontId="3"/>
  </si>
  <si>
    <t>初年度　１社員に対し10件　翌年から１社員につき3件追加 　退職者一律100件　を想定</t>
    <rPh sb="0" eb="3">
      <t>ショネンド</t>
    </rPh>
    <rPh sb="5" eb="7">
      <t>シャイン</t>
    </rPh>
    <rPh sb="8" eb="9">
      <t>タイ</t>
    </rPh>
    <rPh sb="12" eb="13">
      <t>ケン</t>
    </rPh>
    <rPh sb="14" eb="16">
      <t>ヨクトシ</t>
    </rPh>
    <rPh sb="19" eb="21">
      <t>シャイン</t>
    </rPh>
    <rPh sb="25" eb="26">
      <t>ケン</t>
    </rPh>
    <rPh sb="26" eb="28">
      <t>ツイカ</t>
    </rPh>
    <rPh sb="30" eb="32">
      <t>タイショク</t>
    </rPh>
    <rPh sb="32" eb="33">
      <t>シャ</t>
    </rPh>
    <rPh sb="33" eb="35">
      <t>イチリツ</t>
    </rPh>
    <rPh sb="38" eb="39">
      <t>ケン</t>
    </rPh>
    <rPh sb="41" eb="43">
      <t>ソウテイ</t>
    </rPh>
    <phoneticPr fontId="3"/>
  </si>
  <si>
    <t>汎用検索抽出項目数、抽出値桁数</t>
    <rPh sb="0" eb="2">
      <t>ハンヨウ</t>
    </rPh>
    <rPh sb="2" eb="4">
      <t>ケンサク</t>
    </rPh>
    <rPh sb="4" eb="6">
      <t>チュウシュツ</t>
    </rPh>
    <rPh sb="6" eb="8">
      <t>コウモク</t>
    </rPh>
    <rPh sb="8" eb="9">
      <t>スウ</t>
    </rPh>
    <rPh sb="10" eb="12">
      <t>チュウシュツ</t>
    </rPh>
    <rPh sb="12" eb="13">
      <t>チ</t>
    </rPh>
    <rPh sb="13" eb="15">
      <t>ケタスウ</t>
    </rPh>
    <phoneticPr fontId="3"/>
  </si>
  <si>
    <t>HRIMGMST</t>
  </si>
  <si>
    <t>HRJIRMST</t>
  </si>
  <si>
    <t>事故歴</t>
    <rPh sb="0" eb="2">
      <t>ジコ</t>
    </rPh>
    <rPh sb="2" eb="3">
      <t>レキ</t>
    </rPh>
    <phoneticPr fontId="3"/>
  </si>
  <si>
    <t>１登録社員　1件を想定</t>
    <rPh sb="1" eb="3">
      <t>トウロク</t>
    </rPh>
    <rPh sb="3" eb="5">
      <t>シャイン</t>
    </rPh>
    <rPh sb="7" eb="8">
      <t>ケン</t>
    </rPh>
    <rPh sb="9" eb="11">
      <t>ソウテイ</t>
    </rPh>
    <phoneticPr fontId="3"/>
  </si>
  <si>
    <t>Word差込データワークファイル(HRD1WTRN)</t>
    <rPh sb="4" eb="6">
      <t>サシコミ</t>
    </rPh>
    <phoneticPr fontId="3"/>
  </si>
  <si>
    <t>項目数
(MAX:30)</t>
    <rPh sb="0" eb="3">
      <t>コウモクスウ</t>
    </rPh>
    <phoneticPr fontId="3"/>
  </si>
  <si>
    <t>HRKAIMST</t>
  </si>
  <si>
    <t>会社定義</t>
    <rPh sb="0" eb="2">
      <t>カイシャ</t>
    </rPh>
    <rPh sb="2" eb="4">
      <t>テイギ</t>
    </rPh>
    <phoneticPr fontId="3"/>
  </si>
  <si>
    <t>常に１件</t>
    <rPh sb="0" eb="1">
      <t>ツネ</t>
    </rPh>
    <rPh sb="3" eb="4">
      <t>ケン</t>
    </rPh>
    <phoneticPr fontId="3"/>
  </si>
  <si>
    <t>HRKGPMST</t>
  </si>
  <si>
    <t>考課グループ</t>
    <rPh sb="0" eb="2">
      <t>コウカ</t>
    </rPh>
    <phoneticPr fontId="3"/>
  </si>
  <si>
    <t>Word差込表示対象項目(新データ)</t>
    <rPh sb="4" eb="6">
      <t>サシコミ</t>
    </rPh>
    <rPh sb="6" eb="8">
      <t>ヒョウジ</t>
    </rPh>
    <rPh sb="8" eb="10">
      <t>タイショウ</t>
    </rPh>
    <rPh sb="10" eb="12">
      <t>コウモク</t>
    </rPh>
    <rPh sb="13" eb="14">
      <t>シン</t>
    </rPh>
    <phoneticPr fontId="3"/>
  </si>
  <si>
    <t>HRKHTMST</t>
  </si>
  <si>
    <t>考課評定</t>
    <rPh sb="0" eb="2">
      <t>コウカ</t>
    </rPh>
    <rPh sb="2" eb="4">
      <t>ヒョウテイ</t>
    </rPh>
    <phoneticPr fontId="3"/>
  </si>
  <si>
    <t>Word差込表示対象項目(旧データ)</t>
    <rPh sb="4" eb="6">
      <t>サシコミ</t>
    </rPh>
    <rPh sb="6" eb="8">
      <t>ヒョウジ</t>
    </rPh>
    <rPh sb="8" eb="10">
      <t>タイショウ</t>
    </rPh>
    <rPh sb="10" eb="12">
      <t>コウモク</t>
    </rPh>
    <rPh sb="13" eb="14">
      <t>キュウ</t>
    </rPh>
    <phoneticPr fontId="3"/>
  </si>
  <si>
    <t>HRKIBMST</t>
  </si>
  <si>
    <t>自己申告</t>
    <rPh sb="0" eb="2">
      <t>ジコ</t>
    </rPh>
    <rPh sb="2" eb="4">
      <t>シンコク</t>
    </rPh>
    <phoneticPr fontId="3"/>
  </si>
  <si>
    <t>１登録社員　10件を想定</t>
    <rPh sb="1" eb="3">
      <t>トウロク</t>
    </rPh>
    <rPh sb="3" eb="5">
      <t>シャイン</t>
    </rPh>
    <rPh sb="8" eb="9">
      <t>ケン</t>
    </rPh>
    <rPh sb="10" eb="12">
      <t>ソウテイ</t>
    </rPh>
    <phoneticPr fontId="3"/>
  </si>
  <si>
    <t>HRKINMST</t>
  </si>
  <si>
    <t>勤怠</t>
    <rPh sb="0" eb="2">
      <t>キンタイ</t>
    </rPh>
    <phoneticPr fontId="3"/>
  </si>
  <si>
    <t>１社員　20件を想定</t>
    <rPh sb="1" eb="3">
      <t>シャイン</t>
    </rPh>
    <rPh sb="6" eb="7">
      <t>ケン</t>
    </rPh>
    <rPh sb="8" eb="10">
      <t>ソウテイ</t>
    </rPh>
    <phoneticPr fontId="3"/>
  </si>
  <si>
    <t>注(1).予備データの項目数のMAX値は10</t>
    <rPh sb="5" eb="7">
      <t>ヨビ</t>
    </rPh>
    <rPh sb="11" eb="14">
      <t>コウモクスウ</t>
    </rPh>
    <rPh sb="18" eb="19">
      <t>チ</t>
    </rPh>
    <phoneticPr fontId="3"/>
  </si>
  <si>
    <t>HRKJ2MST</t>
  </si>
  <si>
    <t>個人拡張</t>
    <rPh sb="0" eb="2">
      <t>コジン</t>
    </rPh>
    <rPh sb="2" eb="4">
      <t>カクチョウ</t>
    </rPh>
    <phoneticPr fontId="3"/>
  </si>
  <si>
    <t>HRKJKTRN</t>
  </si>
  <si>
    <t>受講予定</t>
    <rPh sb="0" eb="2">
      <t>ジュコウ</t>
    </rPh>
    <rPh sb="2" eb="4">
      <t>ヨテイ</t>
    </rPh>
    <phoneticPr fontId="3"/>
  </si>
  <si>
    <t>１社員につき毎年2件を想定</t>
    <rPh sb="1" eb="3">
      <t>シャイン</t>
    </rPh>
    <rPh sb="6" eb="8">
      <t>マイトシ</t>
    </rPh>
    <rPh sb="9" eb="10">
      <t>ケン</t>
    </rPh>
    <rPh sb="11" eb="13">
      <t>ソウテイ</t>
    </rPh>
    <phoneticPr fontId="3"/>
  </si>
  <si>
    <t>諸届・申請データファイル2/2(HRSS2TRN)</t>
    <rPh sb="0" eb="1">
      <t>ショ</t>
    </rPh>
    <rPh sb="1" eb="2">
      <t>トド</t>
    </rPh>
    <rPh sb="3" eb="5">
      <t>シンセイ</t>
    </rPh>
    <phoneticPr fontId="3"/>
  </si>
  <si>
    <t>-</t>
    <phoneticPr fontId="3"/>
  </si>
  <si>
    <t>桁数
(MAX:1024)</t>
    <rPh sb="0" eb="2">
      <t>ケタスウ</t>
    </rPh>
    <phoneticPr fontId="3"/>
  </si>
  <si>
    <t>HRKJNMST</t>
  </si>
  <si>
    <t>個人情報</t>
    <rPh sb="0" eb="2">
      <t>コジン</t>
    </rPh>
    <rPh sb="2" eb="4">
      <t>ジョウホウ</t>
    </rPh>
    <phoneticPr fontId="3"/>
  </si>
  <si>
    <t>社員数に対し、毎年内定者10％、退職者（指定）　の比率で増加を想定</t>
    <rPh sb="0" eb="2">
      <t>シャイン</t>
    </rPh>
    <rPh sb="2" eb="3">
      <t>スウ</t>
    </rPh>
    <rPh sb="4" eb="5">
      <t>タイ</t>
    </rPh>
    <rPh sb="7" eb="9">
      <t>マイトシ</t>
    </rPh>
    <rPh sb="9" eb="11">
      <t>ナイテイ</t>
    </rPh>
    <rPh sb="11" eb="12">
      <t>シャ</t>
    </rPh>
    <rPh sb="16" eb="18">
      <t>タイショク</t>
    </rPh>
    <rPh sb="18" eb="19">
      <t>シャ</t>
    </rPh>
    <rPh sb="20" eb="22">
      <t>シテイ</t>
    </rPh>
    <rPh sb="25" eb="27">
      <t>ヒリツ</t>
    </rPh>
    <rPh sb="28" eb="30">
      <t>ゾウカ</t>
    </rPh>
    <rPh sb="31" eb="33">
      <t>ソウテイ</t>
    </rPh>
    <phoneticPr fontId="3"/>
  </si>
  <si>
    <t>HRKJRMST</t>
  </si>
  <si>
    <t>個人履歴</t>
    <rPh sb="0" eb="2">
      <t>コジン</t>
    </rPh>
    <rPh sb="2" eb="4">
      <t>リレキ</t>
    </rPh>
    <phoneticPr fontId="3"/>
  </si>
  <si>
    <t>初年度　１社員に対し100件　翌年から１社員につき100件追加 　退職者一律3000件　を想定</t>
    <rPh sb="0" eb="3">
      <t>ショネンド</t>
    </rPh>
    <rPh sb="5" eb="7">
      <t>シャイン</t>
    </rPh>
    <rPh sb="8" eb="9">
      <t>タイ</t>
    </rPh>
    <rPh sb="13" eb="14">
      <t>ケン</t>
    </rPh>
    <rPh sb="15" eb="17">
      <t>ヨクトシ</t>
    </rPh>
    <rPh sb="20" eb="22">
      <t>シャイン</t>
    </rPh>
    <rPh sb="28" eb="29">
      <t>ケン</t>
    </rPh>
    <rPh sb="29" eb="31">
      <t>ツイカ</t>
    </rPh>
    <rPh sb="33" eb="35">
      <t>タイショク</t>
    </rPh>
    <rPh sb="35" eb="36">
      <t>シャ</t>
    </rPh>
    <rPh sb="36" eb="38">
      <t>イチリツ</t>
    </rPh>
    <rPh sb="42" eb="43">
      <t>ケン</t>
    </rPh>
    <rPh sb="45" eb="47">
      <t>ソウテイ</t>
    </rPh>
    <phoneticPr fontId="3"/>
  </si>
  <si>
    <t>諸届申請データ桁数(インプットデータ)</t>
    <rPh sb="0" eb="1">
      <t>ショ</t>
    </rPh>
    <rPh sb="1" eb="2">
      <t>トド</t>
    </rPh>
    <rPh sb="2" eb="4">
      <t>シンセイ</t>
    </rPh>
    <rPh sb="7" eb="9">
      <t>ケタスウ</t>
    </rPh>
    <phoneticPr fontId="3"/>
  </si>
  <si>
    <t>HRKKEMST</t>
  </si>
  <si>
    <t>研修計画</t>
    <rPh sb="0" eb="2">
      <t>ケンシュウ</t>
    </rPh>
    <rPh sb="2" eb="4">
      <t>ケイカク</t>
    </rPh>
    <phoneticPr fontId="3"/>
  </si>
  <si>
    <t>HRKKRMST</t>
  </si>
  <si>
    <t>考課履歴</t>
    <rPh sb="0" eb="2">
      <t>コウカ</t>
    </rPh>
    <rPh sb="2" eb="4">
      <t>リレキ</t>
    </rPh>
    <phoneticPr fontId="3"/>
  </si>
  <si>
    <t>毎年１社員に対し毎年　5件追加（5種の考課目的）　退職者一律100件　を想定</t>
    <rPh sb="0" eb="2">
      <t>マイトシ</t>
    </rPh>
    <rPh sb="3" eb="5">
      <t>シャイン</t>
    </rPh>
    <rPh sb="6" eb="7">
      <t>タイ</t>
    </rPh>
    <rPh sb="8" eb="10">
      <t>マイトシ</t>
    </rPh>
    <rPh sb="12" eb="13">
      <t>ケン</t>
    </rPh>
    <rPh sb="13" eb="15">
      <t>ツイカ</t>
    </rPh>
    <rPh sb="17" eb="18">
      <t>シュ</t>
    </rPh>
    <rPh sb="19" eb="21">
      <t>コウカ</t>
    </rPh>
    <rPh sb="21" eb="23">
      <t>モクテキ</t>
    </rPh>
    <rPh sb="25" eb="27">
      <t>タイショク</t>
    </rPh>
    <rPh sb="27" eb="28">
      <t>シャ</t>
    </rPh>
    <rPh sb="28" eb="30">
      <t>イチリツ</t>
    </rPh>
    <rPh sb="33" eb="34">
      <t>ケン</t>
    </rPh>
    <rPh sb="36" eb="38">
      <t>ソウテイ</t>
    </rPh>
    <phoneticPr fontId="3"/>
  </si>
  <si>
    <t>WEB汎用検索条件値保存マスタ(HRHKHMST)</t>
    <rPh sb="3" eb="5">
      <t>ハンヨウ</t>
    </rPh>
    <rPh sb="5" eb="7">
      <t>ケンサク</t>
    </rPh>
    <rPh sb="7" eb="9">
      <t>ジョウケン</t>
    </rPh>
    <rPh sb="9" eb="10">
      <t>チ</t>
    </rPh>
    <rPh sb="10" eb="12">
      <t>ホゾン</t>
    </rPh>
    <phoneticPr fontId="3"/>
  </si>
  <si>
    <t>桁数
(MAX:256)</t>
    <rPh sb="0" eb="2">
      <t>ケタスウ</t>
    </rPh>
    <phoneticPr fontId="3"/>
  </si>
  <si>
    <t>HRKNKMST</t>
  </si>
  <si>
    <t>検診履歴</t>
    <rPh sb="0" eb="2">
      <t>ケンシン</t>
    </rPh>
    <rPh sb="2" eb="4">
      <t>リレキ</t>
    </rPh>
    <phoneticPr fontId="3"/>
  </si>
  <si>
    <t>初年度　１社員に対し5件　翌年から１社員につき1件追加 　退職者一律30件　を想定</t>
    <rPh sb="0" eb="3">
      <t>ショネンド</t>
    </rPh>
    <rPh sb="5" eb="7">
      <t>シャイン</t>
    </rPh>
    <rPh sb="8" eb="9">
      <t>タイ</t>
    </rPh>
    <rPh sb="11" eb="12">
      <t>ケン</t>
    </rPh>
    <rPh sb="13" eb="15">
      <t>ヨクトシ</t>
    </rPh>
    <rPh sb="18" eb="20">
      <t>シャイン</t>
    </rPh>
    <rPh sb="24" eb="25">
      <t>ケン</t>
    </rPh>
    <rPh sb="25" eb="27">
      <t>ツイカ</t>
    </rPh>
    <rPh sb="29" eb="31">
      <t>タイショク</t>
    </rPh>
    <rPh sb="31" eb="32">
      <t>シャ</t>
    </rPh>
    <rPh sb="32" eb="34">
      <t>イチリツ</t>
    </rPh>
    <rPh sb="36" eb="37">
      <t>ケン</t>
    </rPh>
    <rPh sb="39" eb="41">
      <t>ソウテイ</t>
    </rPh>
    <phoneticPr fontId="3"/>
  </si>
  <si>
    <t>HRKNRMST</t>
  </si>
  <si>
    <t>研修履歴</t>
    <rPh sb="0" eb="2">
      <t>ケンシュウ</t>
    </rPh>
    <rPh sb="2" eb="4">
      <t>リレキ</t>
    </rPh>
    <phoneticPr fontId="3"/>
  </si>
  <si>
    <t>毎年１社員に対し毎年　2件追加　退職者一律50件　を想定</t>
    <rPh sb="0" eb="2">
      <t>マイトシ</t>
    </rPh>
    <rPh sb="3" eb="5">
      <t>シャイン</t>
    </rPh>
    <rPh sb="6" eb="7">
      <t>タイ</t>
    </rPh>
    <rPh sb="8" eb="10">
      <t>マイトシ</t>
    </rPh>
    <rPh sb="12" eb="13">
      <t>ケン</t>
    </rPh>
    <rPh sb="13" eb="15">
      <t>ツイカ</t>
    </rPh>
    <rPh sb="16" eb="18">
      <t>タイショク</t>
    </rPh>
    <rPh sb="18" eb="19">
      <t>シャ</t>
    </rPh>
    <rPh sb="19" eb="21">
      <t>イチリツ</t>
    </rPh>
    <rPh sb="23" eb="24">
      <t>ケン</t>
    </rPh>
    <rPh sb="26" eb="28">
      <t>ソウテイ</t>
    </rPh>
    <phoneticPr fontId="3"/>
  </si>
  <si>
    <t>上限値</t>
    <rPh sb="0" eb="3">
      <t>ジョウゲンチ</t>
    </rPh>
    <phoneticPr fontId="3"/>
  </si>
  <si>
    <t>HRKNSMST</t>
  </si>
  <si>
    <t>研修コース</t>
    <rPh sb="0" eb="2">
      <t>ケンシュウ</t>
    </rPh>
    <phoneticPr fontId="3"/>
  </si>
  <si>
    <t>下限値</t>
    <rPh sb="0" eb="3">
      <t>カゲンチ</t>
    </rPh>
    <phoneticPr fontId="3"/>
  </si>
  <si>
    <t>HRKOSMST</t>
  </si>
  <si>
    <t>既往症</t>
    <rPh sb="0" eb="3">
      <t>キオウショウ</t>
    </rPh>
    <phoneticPr fontId="3"/>
  </si>
  <si>
    <t>１登録社員　5件を想定</t>
    <rPh sb="1" eb="3">
      <t>トウロク</t>
    </rPh>
    <rPh sb="3" eb="5">
      <t>シャイン</t>
    </rPh>
    <rPh sb="7" eb="8">
      <t>ケン</t>
    </rPh>
    <rPh sb="9" eb="11">
      <t>ソウテイ</t>
    </rPh>
    <phoneticPr fontId="3"/>
  </si>
  <si>
    <t>考課対象者</t>
    <rPh sb="0" eb="2">
      <t>コウカ</t>
    </rPh>
    <rPh sb="2" eb="5">
      <t>タイショウシャ</t>
    </rPh>
    <phoneticPr fontId="3"/>
  </si>
  <si>
    <t>１社員 毎年5件を想定</t>
    <rPh sb="1" eb="3">
      <t>シャイン</t>
    </rPh>
    <rPh sb="4" eb="6">
      <t>マイトシ</t>
    </rPh>
    <rPh sb="7" eb="8">
      <t>ケン</t>
    </rPh>
    <rPh sb="9" eb="11">
      <t>ソウテイ</t>
    </rPh>
    <phoneticPr fontId="3"/>
  </si>
  <si>
    <t>社員情報一覧表示用ワーク(HRRESWRK)</t>
    <rPh sb="0" eb="2">
      <t>シャイン</t>
    </rPh>
    <rPh sb="2" eb="4">
      <t>ジョウホウ</t>
    </rPh>
    <rPh sb="4" eb="6">
      <t>イチラン</t>
    </rPh>
    <rPh sb="6" eb="9">
      <t>ヒョウジヨウ</t>
    </rPh>
    <phoneticPr fontId="3"/>
  </si>
  <si>
    <t>項目数
(MAX:250)</t>
    <rPh sb="0" eb="3">
      <t>コウモクスウ</t>
    </rPh>
    <phoneticPr fontId="3"/>
  </si>
  <si>
    <t>HRKOZMST</t>
  </si>
  <si>
    <t>口座</t>
    <rPh sb="0" eb="2">
      <t>コウザ</t>
    </rPh>
    <phoneticPr fontId="3"/>
  </si>
  <si>
    <t>HRKSUMST</t>
  </si>
  <si>
    <t>FieldHR社員情報一覧で表示される項目数、抽出値桁数</t>
    <rPh sb="7" eb="9">
      <t>シャイン</t>
    </rPh>
    <rPh sb="9" eb="11">
      <t>ジョウホウ</t>
    </rPh>
    <rPh sb="11" eb="13">
      <t>イチラン</t>
    </rPh>
    <rPh sb="14" eb="16">
      <t>ヒョウジ</t>
    </rPh>
    <rPh sb="19" eb="21">
      <t>コウモク</t>
    </rPh>
    <rPh sb="21" eb="22">
      <t>スウ</t>
    </rPh>
    <rPh sb="23" eb="25">
      <t>チュウシュツ</t>
    </rPh>
    <rPh sb="25" eb="26">
      <t>チ</t>
    </rPh>
    <rPh sb="26" eb="28">
      <t>ケタスウ</t>
    </rPh>
    <phoneticPr fontId="3"/>
  </si>
  <si>
    <t>HRKTUMST</t>
  </si>
  <si>
    <t>通勤</t>
    <rPh sb="0" eb="2">
      <t>ツウキン</t>
    </rPh>
    <phoneticPr fontId="3"/>
  </si>
  <si>
    <t>HRKZKMST</t>
  </si>
  <si>
    <t>家族</t>
    <rPh sb="0" eb="2">
      <t>カゾク</t>
    </rPh>
    <phoneticPr fontId="3"/>
  </si>
  <si>
    <t>HRMLBMST</t>
  </si>
  <si>
    <t>HRMLMMST</t>
  </si>
  <si>
    <t>HRMNGMST</t>
  </si>
  <si>
    <t>1社(1000人)あたり20件を想定</t>
    <rPh sb="1" eb="2">
      <t>シャ</t>
    </rPh>
    <rPh sb="7" eb="8">
      <t>ニン</t>
    </rPh>
    <rPh sb="14" eb="15">
      <t>ケン</t>
    </rPh>
    <rPh sb="16" eb="18">
      <t>ソウテイ</t>
    </rPh>
    <phoneticPr fontId="3"/>
  </si>
  <si>
    <t>HRMNUMST</t>
  </si>
  <si>
    <t>ユーザーグループあたり、5メニューを想定</t>
    <rPh sb="18" eb="20">
      <t>ソウテイ</t>
    </rPh>
    <phoneticPr fontId="3"/>
  </si>
  <si>
    <t>HROB2MST</t>
  </si>
  <si>
    <t>応募者拡張</t>
    <rPh sb="0" eb="3">
      <t>オウボシャ</t>
    </rPh>
    <rPh sb="3" eb="5">
      <t>カクチョウ</t>
    </rPh>
    <phoneticPr fontId="3"/>
  </si>
  <si>
    <t>毎年社員のい20％増加を想定</t>
    <rPh sb="0" eb="2">
      <t>マイトシ</t>
    </rPh>
    <rPh sb="2" eb="4">
      <t>シャイン</t>
    </rPh>
    <rPh sb="9" eb="11">
      <t>ゾウカ</t>
    </rPh>
    <rPh sb="12" eb="14">
      <t>ソウテイ</t>
    </rPh>
    <phoneticPr fontId="3"/>
  </si>
  <si>
    <t>HROBIMST</t>
  </si>
  <si>
    <t>応募イメージ</t>
    <rPh sb="0" eb="2">
      <t>オウボ</t>
    </rPh>
    <phoneticPr fontId="3"/>
  </si>
  <si>
    <t>１応募者に対して２件想定</t>
    <rPh sb="1" eb="4">
      <t>オウボシャ</t>
    </rPh>
    <rPh sb="5" eb="6">
      <t>タイ</t>
    </rPh>
    <rPh sb="9" eb="10">
      <t>ケン</t>
    </rPh>
    <rPh sb="10" eb="12">
      <t>ソウテイ</t>
    </rPh>
    <phoneticPr fontId="3"/>
  </si>
  <si>
    <t>HROBSMST</t>
  </si>
  <si>
    <t>応募者マスタ</t>
    <rPh sb="0" eb="3">
      <t>オウボシャ</t>
    </rPh>
    <phoneticPr fontId="3"/>
  </si>
  <si>
    <t>HRPATMST</t>
  </si>
  <si>
    <t>HRPRGMST</t>
  </si>
  <si>
    <t>HRPSGMST</t>
  </si>
  <si>
    <t>HRRUTMST</t>
  </si>
  <si>
    <t>一社(1000人)あたり10ルート*5レベルを想定</t>
    <rPh sb="0" eb="2">
      <t>イッシャ</t>
    </rPh>
    <rPh sb="7" eb="8">
      <t>ニン</t>
    </rPh>
    <rPh sb="23" eb="25">
      <t>ソウテイ</t>
    </rPh>
    <phoneticPr fontId="3"/>
  </si>
  <si>
    <t>HRSBRMST</t>
  </si>
  <si>
    <t>賞罰</t>
    <rPh sb="0" eb="2">
      <t>ショウバツ</t>
    </rPh>
    <phoneticPr fontId="3"/>
  </si>
  <si>
    <t>１登録社員　2件を想定</t>
    <rPh sb="1" eb="3">
      <t>トウロク</t>
    </rPh>
    <rPh sb="3" eb="5">
      <t>シャイン</t>
    </rPh>
    <rPh sb="7" eb="8">
      <t>ケン</t>
    </rPh>
    <rPh sb="9" eb="11">
      <t>ソウテイ</t>
    </rPh>
    <phoneticPr fontId="3"/>
  </si>
  <si>
    <t>HRSE1MST</t>
  </si>
  <si>
    <t>1社(1000人)あたり、10パターンを想定</t>
    <rPh sb="1" eb="2">
      <t>シャ</t>
    </rPh>
    <rPh sb="7" eb="8">
      <t>ニン</t>
    </rPh>
    <rPh sb="20" eb="22">
      <t>ソウテイ</t>
    </rPh>
    <phoneticPr fontId="3"/>
  </si>
  <si>
    <t>HRSE2MST</t>
  </si>
  <si>
    <t>パターンあたり30明細を想定</t>
    <rPh sb="9" eb="11">
      <t>メイサイ</t>
    </rPh>
    <rPh sb="12" eb="14">
      <t>ソウテイ</t>
    </rPh>
    <phoneticPr fontId="3"/>
  </si>
  <si>
    <t>HRSGPMST</t>
  </si>
  <si>
    <t>1ルートあたり5グループを想定</t>
    <rPh sb="13" eb="15">
      <t>ソウテイ</t>
    </rPh>
    <phoneticPr fontId="3"/>
  </si>
  <si>
    <t>HRSGRMST</t>
  </si>
  <si>
    <t>処遇審査履歴</t>
    <rPh sb="0" eb="2">
      <t>ショグウ</t>
    </rPh>
    <rPh sb="2" eb="4">
      <t>シンサ</t>
    </rPh>
    <rPh sb="4" eb="6">
      <t>リレキ</t>
    </rPh>
    <phoneticPr fontId="3"/>
  </si>
  <si>
    <t>HRSHPMST</t>
  </si>
  <si>
    <t>HRSHZMST</t>
  </si>
  <si>
    <t>組織改編配属</t>
    <rPh sb="0" eb="2">
      <t>ソシキ</t>
    </rPh>
    <rPh sb="2" eb="4">
      <t>カイヘン</t>
    </rPh>
    <rPh sb="4" eb="6">
      <t>ハイゾク</t>
    </rPh>
    <phoneticPr fontId="3"/>
  </si>
  <si>
    <t>１起案に対して内定者＋社員に10項目の発令</t>
    <rPh sb="1" eb="3">
      <t>キアン</t>
    </rPh>
    <rPh sb="4" eb="5">
      <t>タイ</t>
    </rPh>
    <rPh sb="7" eb="9">
      <t>ナイテイ</t>
    </rPh>
    <rPh sb="9" eb="10">
      <t>シャ</t>
    </rPh>
    <rPh sb="11" eb="13">
      <t>シャイン</t>
    </rPh>
    <rPh sb="16" eb="18">
      <t>コウモク</t>
    </rPh>
    <rPh sb="19" eb="21">
      <t>ハツレイ</t>
    </rPh>
    <phoneticPr fontId="3"/>
  </si>
  <si>
    <t>HRSKGMST</t>
  </si>
  <si>
    <t>HRSKLMST</t>
  </si>
  <si>
    <t>スキル</t>
    <phoneticPr fontId="3"/>
  </si>
  <si>
    <t>HRSK2MST</t>
    <phoneticPr fontId="3"/>
  </si>
  <si>
    <t>スキル2</t>
    <phoneticPr fontId="3"/>
  </si>
  <si>
    <t>１登録社員　50件を想定</t>
    <rPh sb="1" eb="3">
      <t>トウロク</t>
    </rPh>
    <rPh sb="3" eb="5">
      <t>シャイン</t>
    </rPh>
    <rPh sb="8" eb="9">
      <t>ケン</t>
    </rPh>
    <rPh sb="10" eb="12">
      <t>ソウテイ</t>
    </rPh>
    <phoneticPr fontId="3"/>
  </si>
  <si>
    <t>HRSKMMST</t>
  </si>
  <si>
    <t>職務経歴</t>
    <rPh sb="0" eb="2">
      <t>ショクム</t>
    </rPh>
    <rPh sb="2" eb="4">
      <t>ケイレキ</t>
    </rPh>
    <phoneticPr fontId="3"/>
  </si>
  <si>
    <t>HRSKTTRN</t>
  </si>
  <si>
    <t>昇降格対象者</t>
    <rPh sb="0" eb="2">
      <t>ショウコウ</t>
    </rPh>
    <rPh sb="2" eb="3">
      <t>カク</t>
    </rPh>
    <rPh sb="3" eb="6">
      <t>タイショウシャ</t>
    </rPh>
    <phoneticPr fontId="3"/>
  </si>
  <si>
    <t>HRSMBMST</t>
  </si>
  <si>
    <t>HRSMPMST</t>
  </si>
  <si>
    <t>HRSPLMST</t>
  </si>
  <si>
    <t>採用計画</t>
    <rPh sb="0" eb="2">
      <t>サイヨウ</t>
    </rPh>
    <rPh sb="2" eb="4">
      <t>ケイカク</t>
    </rPh>
    <phoneticPr fontId="3"/>
  </si>
  <si>
    <t>部門　50件　異動分類種別　１０件　毎年増加を想定</t>
    <rPh sb="0" eb="2">
      <t>ブモン</t>
    </rPh>
    <rPh sb="5" eb="6">
      <t>ケン</t>
    </rPh>
    <rPh sb="7" eb="9">
      <t>イドウ</t>
    </rPh>
    <rPh sb="9" eb="11">
      <t>ブンルイ</t>
    </rPh>
    <rPh sb="11" eb="13">
      <t>シュベツ</t>
    </rPh>
    <rPh sb="16" eb="17">
      <t>ケン</t>
    </rPh>
    <rPh sb="18" eb="20">
      <t>マイトシ</t>
    </rPh>
    <rPh sb="20" eb="22">
      <t>ゾウカ</t>
    </rPh>
    <rPh sb="23" eb="25">
      <t>ソウテイ</t>
    </rPh>
    <phoneticPr fontId="3"/>
  </si>
  <si>
    <t>HRSPTMST</t>
  </si>
  <si>
    <t>1社(1000人)あたり、50パターンを想定</t>
    <rPh sb="1" eb="2">
      <t>シャ</t>
    </rPh>
    <rPh sb="7" eb="8">
      <t>ニン</t>
    </rPh>
    <rPh sb="20" eb="22">
      <t>ソウテイ</t>
    </rPh>
    <phoneticPr fontId="3"/>
  </si>
  <si>
    <t>HRSS1TRN</t>
  </si>
  <si>
    <t>諸届申請</t>
    <rPh sb="0" eb="1">
      <t>ショ</t>
    </rPh>
    <rPh sb="1" eb="2">
      <t>トド</t>
    </rPh>
    <rPh sb="2" eb="4">
      <t>シンセイ</t>
    </rPh>
    <phoneticPr fontId="3"/>
  </si>
  <si>
    <t>１社員につき毎年10件を想定</t>
    <rPh sb="1" eb="3">
      <t>シャイン</t>
    </rPh>
    <rPh sb="6" eb="8">
      <t>マイトシ</t>
    </rPh>
    <rPh sb="10" eb="11">
      <t>ケン</t>
    </rPh>
    <rPh sb="12" eb="14">
      <t>ソウテイ</t>
    </rPh>
    <phoneticPr fontId="3"/>
  </si>
  <si>
    <t>HRSS2TRN</t>
  </si>
  <si>
    <t>諸届明細</t>
    <rPh sb="0" eb="1">
      <t>ショ</t>
    </rPh>
    <rPh sb="1" eb="2">
      <t>トド</t>
    </rPh>
    <rPh sb="2" eb="4">
      <t>メイサイ</t>
    </rPh>
    <phoneticPr fontId="3"/>
  </si>
  <si>
    <t>1件の申請書に対して10項目を想定</t>
    <rPh sb="1" eb="2">
      <t>ケン</t>
    </rPh>
    <rPh sb="3" eb="5">
      <t>シンセイ</t>
    </rPh>
    <rPh sb="5" eb="6">
      <t>ショ</t>
    </rPh>
    <rPh sb="7" eb="8">
      <t>タイ</t>
    </rPh>
    <rPh sb="12" eb="14">
      <t>コウモク</t>
    </rPh>
    <rPh sb="15" eb="17">
      <t>ソウテイ</t>
    </rPh>
    <phoneticPr fontId="3"/>
  </si>
  <si>
    <t>HRHS1TRN</t>
    <phoneticPr fontId="3"/>
  </si>
  <si>
    <t>1件の申請書に対して20項目を想定</t>
    <rPh sb="1" eb="2">
      <t>ケン</t>
    </rPh>
    <rPh sb="3" eb="5">
      <t>シンセイ</t>
    </rPh>
    <rPh sb="5" eb="6">
      <t>ショ</t>
    </rPh>
    <rPh sb="7" eb="8">
      <t>タイ</t>
    </rPh>
    <rPh sb="12" eb="14">
      <t>コウモク</t>
    </rPh>
    <rPh sb="15" eb="17">
      <t>ソウテイ</t>
    </rPh>
    <phoneticPr fontId="3"/>
  </si>
  <si>
    <t>HRSSOMST</t>
  </si>
  <si>
    <t>組織改編</t>
    <rPh sb="0" eb="2">
      <t>ソシキ</t>
    </rPh>
    <rPh sb="2" eb="4">
      <t>カイヘン</t>
    </rPh>
    <phoneticPr fontId="3"/>
  </si>
  <si>
    <t>１起案５０件を毎年３件</t>
    <rPh sb="1" eb="3">
      <t>キアン</t>
    </rPh>
    <rPh sb="5" eb="6">
      <t>ケン</t>
    </rPh>
    <rPh sb="7" eb="9">
      <t>マイトシ</t>
    </rPh>
    <rPh sb="10" eb="11">
      <t>ケン</t>
    </rPh>
    <phoneticPr fontId="3"/>
  </si>
  <si>
    <t>HRST1MST</t>
  </si>
  <si>
    <t>諸届申請設定</t>
    <rPh sb="0" eb="1">
      <t>ショ</t>
    </rPh>
    <rPh sb="1" eb="2">
      <t>トド</t>
    </rPh>
    <rPh sb="2" eb="4">
      <t>シンセイ</t>
    </rPh>
    <rPh sb="4" eb="6">
      <t>セッテイ</t>
    </rPh>
    <phoneticPr fontId="3"/>
  </si>
  <si>
    <t>1０件</t>
    <rPh sb="2" eb="3">
      <t>ケン</t>
    </rPh>
    <phoneticPr fontId="3"/>
  </si>
  <si>
    <t>HRST2MST</t>
  </si>
  <si>
    <t>諸届明細設定</t>
    <rPh sb="0" eb="1">
      <t>ショ</t>
    </rPh>
    <rPh sb="1" eb="2">
      <t>トド</t>
    </rPh>
    <rPh sb="2" eb="4">
      <t>メイサイ</t>
    </rPh>
    <rPh sb="4" eb="6">
      <t>セッテイ</t>
    </rPh>
    <phoneticPr fontId="3"/>
  </si>
  <si>
    <t>１件の申請書に対して１0項目を想定</t>
    <rPh sb="1" eb="2">
      <t>ケン</t>
    </rPh>
    <rPh sb="3" eb="5">
      <t>シンセイ</t>
    </rPh>
    <rPh sb="5" eb="6">
      <t>ショ</t>
    </rPh>
    <rPh sb="7" eb="8">
      <t>タイ</t>
    </rPh>
    <rPh sb="12" eb="14">
      <t>コウモク</t>
    </rPh>
    <rPh sb="15" eb="17">
      <t>ソウテイ</t>
    </rPh>
    <phoneticPr fontId="3"/>
  </si>
  <si>
    <t>HRSTSMST</t>
  </si>
  <si>
    <t>HRSYPMST</t>
  </si>
  <si>
    <t>HRSYRMST</t>
  </si>
  <si>
    <t>社員証</t>
    <rPh sb="0" eb="2">
      <t>シャイン</t>
    </rPh>
    <rPh sb="2" eb="3">
      <t>ショウ</t>
    </rPh>
    <phoneticPr fontId="3"/>
  </si>
  <si>
    <t>１内定者以外の登録社員　3件を想定</t>
    <rPh sb="1" eb="3">
      <t>ナイテイ</t>
    </rPh>
    <rPh sb="3" eb="4">
      <t>シャ</t>
    </rPh>
    <rPh sb="4" eb="6">
      <t>イガイ</t>
    </rPh>
    <rPh sb="7" eb="9">
      <t>トウロク</t>
    </rPh>
    <rPh sb="9" eb="11">
      <t>シャイン</t>
    </rPh>
    <rPh sb="13" eb="14">
      <t>ケン</t>
    </rPh>
    <rPh sb="15" eb="17">
      <t>ソウテイ</t>
    </rPh>
    <phoneticPr fontId="3"/>
  </si>
  <si>
    <t>HRTANMST</t>
  </si>
  <si>
    <t>HRTBLMST</t>
  </si>
  <si>
    <t>HRTG1TRN</t>
  </si>
  <si>
    <t>賃金対象者1</t>
    <rPh sb="0" eb="2">
      <t>チンギン</t>
    </rPh>
    <rPh sb="2" eb="5">
      <t>タイショウシャ</t>
    </rPh>
    <phoneticPr fontId="3"/>
  </si>
  <si>
    <t>HRTG2TRN</t>
  </si>
  <si>
    <t>HRTGNMST</t>
  </si>
  <si>
    <t>HRTGRMST</t>
  </si>
  <si>
    <t>賃金履歴</t>
    <rPh sb="0" eb="2">
      <t>チンギン</t>
    </rPh>
    <rPh sb="2" eb="4">
      <t>リレキ</t>
    </rPh>
    <phoneticPr fontId="3"/>
  </si>
  <si>
    <t>HRTKRMST</t>
  </si>
  <si>
    <t>渡航歴</t>
    <rPh sb="0" eb="2">
      <t>トコウ</t>
    </rPh>
    <rPh sb="2" eb="3">
      <t>レキ</t>
    </rPh>
    <phoneticPr fontId="3"/>
  </si>
  <si>
    <t>HRTSKTRN</t>
  </si>
  <si>
    <t>退職予定者</t>
    <rPh sb="0" eb="2">
      <t>タイショク</t>
    </rPh>
    <rPh sb="2" eb="5">
      <t>ヨテイシャ</t>
    </rPh>
    <phoneticPr fontId="3"/>
  </si>
  <si>
    <t>全社員の10％を想定</t>
    <rPh sb="0" eb="3">
      <t>ゼンシャイン</t>
    </rPh>
    <rPh sb="8" eb="10">
      <t>ソウテイ</t>
    </rPh>
    <phoneticPr fontId="3"/>
  </si>
  <si>
    <t>HRUSEMST</t>
  </si>
  <si>
    <t>HRUSRMST</t>
  </si>
  <si>
    <t>社員の　20％を想定</t>
    <rPh sb="0" eb="2">
      <t>シャイン</t>
    </rPh>
    <rPh sb="8" eb="10">
      <t>ソウテイ</t>
    </rPh>
    <phoneticPr fontId="3"/>
  </si>
  <si>
    <t>HRWMSMST</t>
  </si>
  <si>
    <t>HRZNSMST</t>
  </si>
  <si>
    <t>前職情報</t>
    <rPh sb="0" eb="2">
      <t>ゼンショク</t>
    </rPh>
    <rPh sb="2" eb="4">
      <t>ジョウホウ</t>
    </rPh>
    <phoneticPr fontId="3"/>
  </si>
  <si>
    <t>INSERT</t>
    <phoneticPr fontId="3"/>
  </si>
  <si>
    <t>HRFLGMST</t>
    <phoneticPr fontId="3"/>
  </si>
  <si>
    <t>UPDATE</t>
    <phoneticPr fontId="3"/>
  </si>
  <si>
    <t>DELETE</t>
    <phoneticPr fontId="3"/>
  </si>
  <si>
    <t>イメージ</t>
    <phoneticPr fontId="3"/>
  </si>
  <si>
    <t>HRKOTTRN</t>
    <phoneticPr fontId="3"/>
  </si>
  <si>
    <t>HR+</t>
    <phoneticPr fontId="3"/>
  </si>
  <si>
    <t>SuperStream-NX HR</t>
    <phoneticPr fontId="14"/>
  </si>
  <si>
    <t>PRNC3MST</t>
    <phoneticPr fontId="3"/>
  </si>
  <si>
    <t>PRNC3MST</t>
    <phoneticPr fontId="3"/>
  </si>
  <si>
    <t>HRFLGMST</t>
    <phoneticPr fontId="3"/>
  </si>
  <si>
    <t>HRKOTTRN</t>
    <phoneticPr fontId="3"/>
  </si>
  <si>
    <t>HRSK2MST</t>
    <phoneticPr fontId="3"/>
  </si>
  <si>
    <t>HRHS1TRN</t>
    <phoneticPr fontId="3"/>
  </si>
  <si>
    <t>CMLOGHDR</t>
    <phoneticPr fontId="3"/>
  </si>
  <si>
    <t>CMLOGDTL</t>
    <phoneticPr fontId="3"/>
  </si>
  <si>
    <t>・インストールするプロダクトの数によって必要量が異なります</t>
    <rPh sb="15" eb="16">
      <t>カズ</t>
    </rPh>
    <rPh sb="20" eb="22">
      <t>ヒツヨウ</t>
    </rPh>
    <rPh sb="22" eb="23">
      <t>リョウ</t>
    </rPh>
    <rPh sb="24" eb="25">
      <t>コト</t>
    </rPh>
    <phoneticPr fontId="3"/>
  </si>
  <si>
    <t>上記のSuperStreamが必要とする領域の概算の他に以下の点に配慮してください。</t>
    <phoneticPr fontId="3"/>
  </si>
  <si>
    <t>・（利用形態によって）複数の表領域に分割してそれぞれ独立の装置に割り当てる必要があるかもしれません
※左の欄はTABLEの領域、中の欄はINDEXの領域サイズ、右の欄は運用年数を表示</t>
    <rPh sb="51" eb="52">
      <t>ヒダリ</t>
    </rPh>
    <rPh sb="53" eb="54">
      <t>ラン</t>
    </rPh>
    <rPh sb="61" eb="63">
      <t>リョウイキ</t>
    </rPh>
    <rPh sb="64" eb="65">
      <t>ナカ</t>
    </rPh>
    <rPh sb="66" eb="67">
      <t>ラン</t>
    </rPh>
    <rPh sb="74" eb="76">
      <t>リョウイキ</t>
    </rPh>
    <rPh sb="80" eb="81">
      <t>ミギ</t>
    </rPh>
    <rPh sb="82" eb="83">
      <t>ラン</t>
    </rPh>
    <rPh sb="84" eb="86">
      <t>ウンヨウ</t>
    </rPh>
    <rPh sb="86" eb="88">
      <t>ネンスウ</t>
    </rPh>
    <rPh sb="89" eb="91">
      <t>ヒョウジ</t>
    </rPh>
    <phoneticPr fontId="3"/>
  </si>
  <si>
    <t>・利用形態によって、必要量の調整が必要です（まったく一時的なものとしてどの都度領域を構成することも可能です）</t>
    <phoneticPr fontId="3"/>
  </si>
  <si>
    <t>件数算出の方法</t>
    <phoneticPr fontId="3"/>
  </si>
  <si>
    <t>イメージ</t>
    <phoneticPr fontId="3"/>
  </si>
  <si>
    <t>スキル</t>
    <phoneticPr fontId="3"/>
  </si>
  <si>
    <t>スキル2</t>
    <phoneticPr fontId="3"/>
  </si>
  <si>
    <t>１登録社員　４件を想定</t>
    <rPh sb="1" eb="3">
      <t>トウロク</t>
    </rPh>
    <rPh sb="3" eb="5">
      <t>シャイン</t>
    </rPh>
    <rPh sb="7" eb="8">
      <t>ケン</t>
    </rPh>
    <rPh sb="9" eb="11">
      <t>ソウテイ</t>
    </rPh>
    <phoneticPr fontId="3"/>
  </si>
  <si>
    <t>SuperStream-NX PR</t>
    <phoneticPr fontId="6"/>
  </si>
  <si>
    <t>SuperStream-NX HR</t>
    <phoneticPr fontId="6"/>
  </si>
  <si>
    <t>注：SuperStream-NX 共通データベースについて</t>
    <rPh sb="0" eb="1">
      <t>チュウ</t>
    </rPh>
    <rPh sb="17" eb="19">
      <t>キョウツウ</t>
    </rPh>
    <phoneticPr fontId="3"/>
  </si>
  <si>
    <t>　　・NX統合会計を導入する場合は、NX統合会計のデータ容量計算資料を参照ください。</t>
    <rPh sb="28" eb="30">
      <t>ヨウリョウ</t>
    </rPh>
    <rPh sb="30" eb="32">
      <t>ケイサン</t>
    </rPh>
    <rPh sb="32" eb="34">
      <t>シリョウ</t>
    </rPh>
    <rPh sb="35" eb="37">
      <t>サンショウ</t>
    </rPh>
    <phoneticPr fontId="3"/>
  </si>
  <si>
    <t>　　・NX統合会計を導入しない場合は、NX 共通データベースの初期インストールのデフォルトサイズで</t>
    <phoneticPr fontId="3"/>
  </si>
  <si>
    <t>　　インストールしてください。　（共通データベースは社員数によって使用容量に大きな影響はありません）</t>
    <rPh sb="26" eb="28">
      <t>シャイン</t>
    </rPh>
    <rPh sb="28" eb="29">
      <t>スウ</t>
    </rPh>
    <rPh sb="33" eb="35">
      <t>シヨウ</t>
    </rPh>
    <rPh sb="35" eb="37">
      <t>ヨウリョウ</t>
    </rPh>
    <rPh sb="38" eb="39">
      <t>オオ</t>
    </rPh>
    <rPh sb="41" eb="43">
      <t>エイキョウ</t>
    </rPh>
    <phoneticPr fontId="3"/>
  </si>
  <si>
    <r>
      <rPr>
        <sz val="22"/>
        <rFont val="メイリオ"/>
        <family val="3"/>
        <charset val="128"/>
      </rPr>
      <t xml:space="preserve">SuperStream-NX </t>
    </r>
    <r>
      <rPr>
        <sz val="22"/>
        <rFont val="ＭＳ Ｐ明朝"/>
        <family val="1"/>
        <charset val="128"/>
      </rPr>
      <t>人事給与 共通</t>
    </r>
    <r>
      <rPr>
        <b/>
        <sz val="18"/>
        <rFont val="ＭＳ Ｐ明朝"/>
        <family val="1"/>
        <charset val="128"/>
      </rPr>
      <t>（COREDBA）</t>
    </r>
    <rPh sb="15" eb="17">
      <t>ジンジ</t>
    </rPh>
    <rPh sb="17" eb="19">
      <t>キュウヨ</t>
    </rPh>
    <rPh sb="20" eb="22">
      <t>キョウツウ</t>
    </rPh>
    <phoneticPr fontId="6"/>
  </si>
  <si>
    <t>SuperStream-NX HR(RE)</t>
    <phoneticPr fontId="6"/>
  </si>
  <si>
    <t>・SuperStream-NX HR、SuperStream-NX PRのインストールのための標準的な必要量です</t>
    <phoneticPr fontId="3"/>
  </si>
  <si>
    <t>PRIKHTRN</t>
  </si>
  <si>
    <t>PRIKHTRN</t>
    <phoneticPr fontId="3"/>
  </si>
  <si>
    <r>
      <t xml:space="preserve">FieldHR </t>
    </r>
    <r>
      <rPr>
        <sz val="10"/>
        <rFont val="ＭＳ Ｐゴシック"/>
        <family val="3"/>
        <charset val="128"/>
      </rPr>
      <t>を　　使用しない：０　使用する　:　１</t>
    </r>
    <rPh sb="11" eb="13">
      <t>シヨウ</t>
    </rPh>
    <rPh sb="19" eb="21">
      <t>シヨウ</t>
    </rPh>
    <phoneticPr fontId="3"/>
  </si>
  <si>
    <r>
      <t>Word差込表示対象項目(予備データ)</t>
    </r>
    <r>
      <rPr>
        <u/>
        <sz val="11"/>
        <rFont val="ＭＳ Ｐゴシック"/>
        <family val="3"/>
        <charset val="128"/>
      </rPr>
      <t>注(1)</t>
    </r>
    <rPh sb="4" eb="6">
      <t>サシコミ</t>
    </rPh>
    <rPh sb="6" eb="8">
      <t>ヒョウジ</t>
    </rPh>
    <rPh sb="8" eb="10">
      <t>タイショウ</t>
    </rPh>
    <rPh sb="10" eb="12">
      <t>コウモク</t>
    </rPh>
    <rPh sb="13" eb="15">
      <t>ヨビ</t>
    </rPh>
    <rPh sb="19" eb="20">
      <t>チュウ</t>
    </rPh>
    <phoneticPr fontId="3"/>
  </si>
  <si>
    <t>PRIKMTRN</t>
    <phoneticPr fontId="3"/>
  </si>
  <si>
    <t>PRKKGTRN</t>
    <phoneticPr fontId="3"/>
  </si>
  <si>
    <t>PRSIHTRN</t>
    <phoneticPr fontId="3"/>
  </si>
  <si>
    <t>PRSIMTRN</t>
    <phoneticPr fontId="3"/>
  </si>
  <si>
    <t>PRKKHTRN</t>
    <phoneticPr fontId="3"/>
  </si>
  <si>
    <t>PRKKDTRN</t>
    <phoneticPr fontId="3"/>
  </si>
  <si>
    <t>PRKRTTRN</t>
    <phoneticPr fontId="3"/>
  </si>
  <si>
    <t>PRKKHTRN</t>
  </si>
  <si>
    <t>PRKKDTRN</t>
  </si>
  <si>
    <t>PRKRTTRN</t>
  </si>
  <si>
    <t>PRJIDTRN</t>
    <phoneticPr fontId="3"/>
  </si>
  <si>
    <t>PRZTUTRN</t>
  </si>
  <si>
    <t>PRZTUTRN</t>
    <phoneticPr fontId="3"/>
  </si>
  <si>
    <t>PRJZTTRN</t>
  </si>
  <si>
    <t>PRJZTTRN</t>
    <phoneticPr fontId="3"/>
  </si>
  <si>
    <t>PRJNOMST</t>
    <phoneticPr fontId="3"/>
  </si>
  <si>
    <t>PRTMPTRN</t>
    <phoneticPr fontId="3"/>
  </si>
  <si>
    <t>PRHKDTBL</t>
    <phoneticPr fontId="3"/>
  </si>
  <si>
    <t>PRJKCTBL</t>
    <phoneticPr fontId="3"/>
  </si>
  <si>
    <t>PRNZCTBL</t>
    <phoneticPr fontId="3"/>
  </si>
  <si>
    <t>PRSHCTBL</t>
  </si>
  <si>
    <t>PRSHCTBL</t>
    <phoneticPr fontId="3"/>
  </si>
  <si>
    <t>マイナンバーイメージ参照</t>
    <rPh sb="10" eb="12">
      <t>サンショウ</t>
    </rPh>
    <phoneticPr fontId="3"/>
  </si>
  <si>
    <t>マイナンバー更新</t>
    <rPh sb="6" eb="8">
      <t>コウシン</t>
    </rPh>
    <phoneticPr fontId="3"/>
  </si>
  <si>
    <t>マイナンバーイメージ更新</t>
    <rPh sb="10" eb="12">
      <t>コウシン</t>
    </rPh>
    <phoneticPr fontId="3"/>
  </si>
  <si>
    <t>仮定：育休申請*年数</t>
    <rPh sb="0" eb="2">
      <t>カテイ</t>
    </rPh>
    <rPh sb="3" eb="5">
      <t>イクキュウ</t>
    </rPh>
    <rPh sb="5" eb="7">
      <t>シンセイ</t>
    </rPh>
    <rPh sb="8" eb="10">
      <t>ネンスウ</t>
    </rPh>
    <phoneticPr fontId="3"/>
  </si>
  <si>
    <t>仮定：育休申請*年数</t>
    <rPh sb="0" eb="2">
      <t>カテイ</t>
    </rPh>
    <rPh sb="3" eb="5">
      <t>イクキュウ</t>
    </rPh>
    <rPh sb="5" eb="7">
      <t>シンセイ</t>
    </rPh>
    <phoneticPr fontId="3"/>
  </si>
  <si>
    <t>仮定：高年齢申請*年数</t>
    <rPh sb="0" eb="2">
      <t>カテイ</t>
    </rPh>
    <rPh sb="3" eb="6">
      <t>コウネンレイ</t>
    </rPh>
    <rPh sb="6" eb="8">
      <t>シンセイ</t>
    </rPh>
    <phoneticPr fontId="3"/>
  </si>
  <si>
    <t>PRCH3MST</t>
    <phoneticPr fontId="3"/>
  </si>
  <si>
    <t>PRSHRMST</t>
    <phoneticPr fontId="3"/>
  </si>
  <si>
    <t>仮定：社員数＋月変分*年数</t>
    <rPh sb="0" eb="2">
      <t>カテイ</t>
    </rPh>
    <rPh sb="3" eb="5">
      <t>シャイン</t>
    </rPh>
    <rPh sb="5" eb="6">
      <t>スウ</t>
    </rPh>
    <rPh sb="11" eb="13">
      <t>ネンスウ</t>
    </rPh>
    <phoneticPr fontId="3"/>
  </si>
  <si>
    <t>給与</t>
    <rPh sb="0" eb="2">
      <t>キュウヨ</t>
    </rPh>
    <phoneticPr fontId="3"/>
  </si>
  <si>
    <r>
      <rPr>
        <sz val="20"/>
        <rFont val="メイリオ"/>
        <family val="3"/>
        <charset val="128"/>
      </rPr>
      <t>SuperStream-NX</t>
    </r>
    <r>
      <rPr>
        <sz val="20"/>
        <rFont val="Times New Roman"/>
        <family val="1"/>
      </rPr>
      <t xml:space="preserve"> </t>
    </r>
    <r>
      <rPr>
        <sz val="20"/>
        <rFont val="ＭＳ Ｐゴシック"/>
        <family val="3"/>
        <charset val="128"/>
      </rPr>
      <t>人事給与</t>
    </r>
    <r>
      <rPr>
        <sz val="20"/>
        <rFont val="Times New Roman"/>
        <family val="1"/>
      </rPr>
      <t xml:space="preserve"> </t>
    </r>
    <r>
      <rPr>
        <sz val="18"/>
        <rFont val="Times New Roman"/>
        <family val="1"/>
      </rPr>
      <t>2024-06-01</t>
    </r>
    <r>
      <rPr>
        <sz val="18"/>
        <rFont val="游ゴシック"/>
        <family val="1"/>
        <charset val="128"/>
      </rPr>
      <t>版</t>
    </r>
    <phoneticPr fontId="3"/>
  </si>
  <si>
    <t>PRIHHTRN</t>
  </si>
  <si>
    <t>PRIHHTRN</t>
    <phoneticPr fontId="3"/>
  </si>
  <si>
    <t>PRIHMTRN</t>
  </si>
  <si>
    <t>PRIHMTRN</t>
    <phoneticPr fontId="3"/>
  </si>
  <si>
    <t>PRITMTRN</t>
  </si>
  <si>
    <t>PRITMTRN</t>
    <phoneticPr fontId="3"/>
  </si>
  <si>
    <t>HRMP1TRN</t>
  </si>
  <si>
    <t>HRMP1TRN</t>
    <phoneticPr fontId="3"/>
  </si>
  <si>
    <t>メール送信履歴</t>
    <rPh sb="3" eb="5">
      <t>ソウシン</t>
    </rPh>
    <rPh sb="5" eb="7">
      <t>リレキ</t>
    </rPh>
    <phoneticPr fontId="3"/>
  </si>
  <si>
    <t>HRMP2TRN</t>
    <phoneticPr fontId="3"/>
  </si>
  <si>
    <t>１登録社員　10件、保管期間は30日想定</t>
    <rPh sb="10" eb="12">
      <t>ホカン</t>
    </rPh>
    <rPh sb="12" eb="14">
      <t>キカン</t>
    </rPh>
    <rPh sb="17" eb="18">
      <t>ヒ</t>
    </rPh>
    <phoneticPr fontId="3"/>
  </si>
  <si>
    <t>合計</t>
    <rPh sb="0" eb="2">
      <t>ゴウケイ</t>
    </rPh>
    <phoneticPr fontId="3"/>
  </si>
  <si>
    <r>
      <t>2025-06-01</t>
    </r>
    <r>
      <rPr>
        <b/>
        <sz val="14"/>
        <rFont val="游ゴシック"/>
        <family val="1"/>
        <charset val="128"/>
      </rPr>
      <t>版</t>
    </r>
    <phoneticPr fontId="3"/>
  </si>
  <si>
    <r>
      <t>2025-06-01</t>
    </r>
    <r>
      <rPr>
        <b/>
        <sz val="14"/>
        <rFont val="ＭＳ Ｐゴシック"/>
        <family val="3"/>
        <charset val="128"/>
      </rPr>
      <t>版</t>
    </r>
    <phoneticPr fontId="3"/>
  </si>
  <si>
    <r>
      <t>2025-06-01</t>
    </r>
    <r>
      <rPr>
        <b/>
        <sz val="11"/>
        <rFont val="ＭＳ Ｐゴシック"/>
        <family val="3"/>
        <charset val="128"/>
      </rPr>
      <t>版</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</si>
</sst>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
    <numFmt numFmtId="177" formatCode="#,###,###,###,##0.00"/>
    <numFmt numFmtId="178" formatCode="0_);[Red]\(0\)"/>
    <numFmt numFmtId="179" formatCode="#,##0.0"/>
    <numFmt numFmtId="180" formatCode="0.00_ "/>
    <numFmt numFmtId="181" formatCode="0.0;_㐀"/>
    <numFmt numFmtId="182" formatCode="0_ "/>
    <numFmt numFmtId="183" formatCode="0.00;_㐀"/>
  </numFmts>
  <fonts count="59">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color indexed="12"/>
      <name val="明朝"/>
      <family val="1"/>
      <charset val="128"/>
    </font>
    <font>
      <sz val="11"/>
      <name val="ＭＳ ゴシック"/>
      <family val="3"/>
      <charset val="128"/>
    </font>
    <font>
      <sz val="11"/>
      <name val="明朝"/>
      <family val="1"/>
      <charset val="128"/>
    </font>
    <font>
      <sz val="6"/>
      <name val="ＭＳ ゴシック"/>
      <family val="3"/>
      <charset val="128"/>
    </font>
    <font>
      <sz val="10"/>
      <name val="ＭＳ ゴシック"/>
      <family val="3"/>
      <charset val="128"/>
    </font>
    <font>
      <b/>
      <sz val="10"/>
      <name val="ＭＳ Ｐゴシック"/>
      <family val="3"/>
      <charset val="128"/>
    </font>
    <font>
      <sz val="10"/>
      <name val="ＭＳ 明朝"/>
      <family val="1"/>
      <charset val="128"/>
    </font>
    <font>
      <sz val="10"/>
      <name val="ＭＳ Ｐ明朝"/>
      <family val="1"/>
      <charset val="128"/>
    </font>
    <font>
      <sz val="12"/>
      <name val="ＭＳ ゴシック"/>
      <family val="3"/>
      <charset val="128"/>
    </font>
    <font>
      <sz val="6"/>
      <name val="ＭＳ Ｐ明朝"/>
      <family val="1"/>
      <charset val="128"/>
    </font>
    <font>
      <sz val="10"/>
      <name val="ＭＳ Ｐゴシック"/>
      <family val="3"/>
      <charset val="128"/>
    </font>
    <font>
      <sz val="9"/>
      <name val="ＭＳ Ｐゴシック"/>
      <family val="3"/>
      <charset val="128"/>
    </font>
    <font>
      <sz val="9"/>
      <name val="ＭＳ ゴシック"/>
      <family val="3"/>
      <charset val="128"/>
    </font>
    <font>
      <sz val="9"/>
      <color indexed="12"/>
      <name val="ＭＳ 明朝"/>
      <family val="1"/>
      <charset val="128"/>
    </font>
    <font>
      <sz val="10"/>
      <color indexed="12"/>
      <name val="ＭＳ 明朝"/>
      <family val="1"/>
      <charset val="128"/>
    </font>
    <font>
      <sz val="10"/>
      <color indexed="12"/>
      <name val="ＭＳ ゴシック"/>
      <family val="3"/>
      <charset val="128"/>
    </font>
    <font>
      <b/>
      <sz val="18"/>
      <name val="ＭＳ Ｐ明朝"/>
      <family val="1"/>
      <charset val="128"/>
    </font>
    <font>
      <b/>
      <sz val="10"/>
      <color indexed="12"/>
      <name val="ＭＳ Ｐゴシック"/>
      <family val="3"/>
      <charset val="128"/>
    </font>
    <font>
      <b/>
      <sz val="10"/>
      <color indexed="12"/>
      <name val="ＭＳ ゴシック"/>
      <family val="3"/>
      <charset val="128"/>
    </font>
    <font>
      <sz val="22"/>
      <name val="ＭＳ Ｐ明朝"/>
      <family val="1"/>
      <charset val="128"/>
    </font>
    <font>
      <sz val="22"/>
      <name val="メイリオ"/>
      <family val="3"/>
      <charset val="128"/>
    </font>
    <font>
      <u/>
      <sz val="11"/>
      <name val="ＭＳ Ｐゴシック"/>
      <family val="3"/>
      <charset val="128"/>
    </font>
    <font>
      <sz val="11"/>
      <name val="ＭＳ Ｐゴシック"/>
      <family val="3"/>
      <charset val="128"/>
      <scheme val="major"/>
    </font>
    <font>
      <b/>
      <sz val="10"/>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2"/>
      <name val="ＭＳ Ｐゴシック"/>
      <family val="3"/>
      <charset val="128"/>
      <scheme val="major"/>
    </font>
    <font>
      <sz val="18"/>
      <color indexed="12"/>
      <name val="ＭＳ Ｐゴシック"/>
      <family val="3"/>
      <charset val="128"/>
      <scheme val="major"/>
    </font>
    <font>
      <sz val="9"/>
      <name val="ＭＳ Ｐゴシック"/>
      <family val="3"/>
      <charset val="128"/>
      <scheme val="major"/>
    </font>
    <font>
      <b/>
      <sz val="10"/>
      <color indexed="12"/>
      <name val="ＭＳ Ｐゴシック"/>
      <family val="3"/>
      <charset val="128"/>
      <scheme val="major"/>
    </font>
    <font>
      <sz val="10"/>
      <color indexed="12"/>
      <name val="ＭＳ Ｐゴシック"/>
      <family val="3"/>
      <charset val="128"/>
      <scheme val="major"/>
    </font>
    <font>
      <sz val="9"/>
      <color indexed="10"/>
      <name val="ＭＳ Ｐゴシック"/>
      <family val="3"/>
      <charset val="128"/>
      <scheme val="major"/>
    </font>
    <font>
      <sz val="10"/>
      <color indexed="9"/>
      <name val="ＭＳ Ｐゴシック"/>
      <family val="3"/>
      <charset val="128"/>
      <scheme val="major"/>
    </font>
    <font>
      <b/>
      <sz val="11"/>
      <color indexed="10"/>
      <name val="ＭＳ Ｐゴシック"/>
      <family val="3"/>
      <charset val="128"/>
      <scheme val="major"/>
    </font>
    <font>
      <sz val="11"/>
      <color indexed="10"/>
      <name val="ＭＳ Ｐゴシック"/>
      <family val="3"/>
      <charset val="128"/>
      <scheme val="major"/>
    </font>
    <font>
      <sz val="9"/>
      <color indexed="12"/>
      <name val="ＭＳ Ｐゴシック"/>
      <family val="3"/>
      <charset val="128"/>
      <scheme val="major"/>
    </font>
    <font>
      <sz val="10"/>
      <color indexed="10"/>
      <name val="ＭＳ Ｐゴシック"/>
      <family val="3"/>
      <charset val="128"/>
      <scheme val="major"/>
    </font>
    <font>
      <sz val="11"/>
      <color indexed="12"/>
      <name val="ＭＳ Ｐゴシック"/>
      <family val="3"/>
      <charset val="128"/>
      <scheme val="major"/>
    </font>
    <font>
      <b/>
      <sz val="11"/>
      <color indexed="12"/>
      <name val="ＭＳ Ｐゴシック"/>
      <family val="3"/>
      <charset val="128"/>
      <scheme val="major"/>
    </font>
    <font>
      <b/>
      <sz val="9"/>
      <name val="ＭＳ Ｐゴシック"/>
      <family val="3"/>
      <charset val="128"/>
      <scheme val="major"/>
    </font>
    <font>
      <sz val="8"/>
      <name val="ＭＳ Ｐゴシック"/>
      <family val="3"/>
      <charset val="128"/>
      <scheme val="major"/>
    </font>
    <font>
      <sz val="6"/>
      <name val="ＭＳ Ｐゴシック"/>
      <family val="3"/>
      <charset val="128"/>
      <scheme val="major"/>
    </font>
    <font>
      <sz val="11"/>
      <color indexed="9"/>
      <name val="ＭＳ Ｐゴシック"/>
      <family val="3"/>
      <charset val="128"/>
      <scheme val="major"/>
    </font>
    <font>
      <b/>
      <sz val="14"/>
      <name val="Times New Roman"/>
      <family val="1"/>
    </font>
    <font>
      <b/>
      <sz val="14"/>
      <name val="游ゴシック"/>
      <family val="1"/>
      <charset val="128"/>
    </font>
    <font>
      <b/>
      <sz val="14"/>
      <name val="ＭＳ Ｐゴシック"/>
      <family val="3"/>
      <charset val="128"/>
    </font>
    <font>
      <b/>
      <sz val="11"/>
      <name val="Times New Roman"/>
      <family val="1"/>
    </font>
    <font>
      <b/>
      <sz val="22"/>
      <name val="Times New Roman"/>
      <family val="3"/>
      <charset val="128"/>
    </font>
    <font>
      <sz val="20"/>
      <name val="Times New Roman"/>
      <family val="1"/>
    </font>
    <font>
      <sz val="20"/>
      <name val="ＭＳ Ｐゴシック"/>
      <family val="3"/>
      <charset val="128"/>
    </font>
    <font>
      <sz val="18"/>
      <name val="Times New Roman"/>
      <family val="1"/>
    </font>
    <font>
      <sz val="18"/>
      <name val="游ゴシック"/>
      <family val="1"/>
      <charset val="128"/>
    </font>
    <font>
      <sz val="20"/>
      <name val="メイリオ"/>
      <family val="3"/>
      <charset val="128"/>
    </font>
    <font>
      <sz val="20"/>
      <name val="Times New Roman"/>
      <family val="3"/>
      <charset val="128"/>
    </font>
  </fonts>
  <fills count="11">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1" fillId="0" borderId="0"/>
    <xf numFmtId="0" fontId="6" fillId="0" borderId="0"/>
    <xf numFmtId="0" fontId="7" fillId="0" borderId="0"/>
    <xf numFmtId="0" fontId="2" fillId="0" borderId="0"/>
  </cellStyleXfs>
  <cellXfs count="350">
    <xf numFmtId="0" fontId="0" fillId="0" borderId="0" xfId="0">
      <alignment vertical="center"/>
    </xf>
    <xf numFmtId="0" fontId="4" fillId="0" borderId="0" xfId="0" applyFont="1">
      <alignment vertical="center"/>
    </xf>
    <xf numFmtId="0" fontId="0" fillId="2" borderId="0" xfId="0" applyFill="1" applyProtection="1">
      <alignment vertical="center"/>
      <protection locked="0"/>
    </xf>
    <xf numFmtId="176" fontId="0" fillId="0" borderId="0" xfId="0" applyNumberFormat="1">
      <alignment vertical="center"/>
    </xf>
    <xf numFmtId="177" fontId="0" fillId="0" borderId="0" xfId="0" applyNumberFormat="1">
      <alignment vertical="center"/>
    </xf>
    <xf numFmtId="0" fontId="5" fillId="0" borderId="0" xfId="0" applyFont="1">
      <alignment vertical="center"/>
    </xf>
    <xf numFmtId="1" fontId="0" fillId="0" borderId="0" xfId="0" applyNumberFormat="1">
      <alignment vertical="center"/>
    </xf>
    <xf numFmtId="0" fontId="2" fillId="0" borderId="0" xfId="0" applyFont="1">
      <alignment vertical="center"/>
    </xf>
    <xf numFmtId="0" fontId="0" fillId="0" borderId="0" xfId="0" applyProtection="1">
      <alignment vertical="center"/>
      <protection locked="0"/>
    </xf>
    <xf numFmtId="176" fontId="0" fillId="0" borderId="0" xfId="0" applyNumberFormat="1" applyProtection="1">
      <alignment vertical="center"/>
      <protection locked="0"/>
    </xf>
    <xf numFmtId="0" fontId="6" fillId="0" borderId="1" xfId="5" applyBorder="1"/>
    <xf numFmtId="0" fontId="8" fillId="0" borderId="2" xfId="5" applyFont="1" applyBorder="1"/>
    <xf numFmtId="0" fontId="6" fillId="0" borderId="2" xfId="5" applyBorder="1"/>
    <xf numFmtId="0" fontId="6" fillId="0" borderId="3" xfId="5" applyBorder="1"/>
    <xf numFmtId="0" fontId="6" fillId="0" borderId="4" xfId="5" applyBorder="1"/>
    <xf numFmtId="0" fontId="6" fillId="0" borderId="0" xfId="5"/>
    <xf numFmtId="0" fontId="6" fillId="0" borderId="5" xfId="5" applyBorder="1"/>
    <xf numFmtId="0" fontId="12" fillId="0" borderId="5" xfId="5" applyFont="1" applyBorder="1"/>
    <xf numFmtId="0" fontId="11" fillId="0" borderId="0" xfId="5" applyFont="1" applyAlignment="1">
      <alignment vertical="top"/>
    </xf>
    <xf numFmtId="0" fontId="10" fillId="0" borderId="0" xfId="0" applyFont="1">
      <alignment vertical="center"/>
    </xf>
    <xf numFmtId="177" fontId="0" fillId="0" borderId="0" xfId="0" applyNumberFormat="1" applyAlignment="1">
      <alignment horizontal="right" vertical="center"/>
    </xf>
    <xf numFmtId="177" fontId="13" fillId="0" borderId="0" xfId="5" applyNumberFormat="1" applyFont="1"/>
    <xf numFmtId="177" fontId="2" fillId="0" borderId="0" xfId="2" applyNumberFormat="1" applyAlignment="1" applyProtection="1">
      <protection locked="0"/>
    </xf>
    <xf numFmtId="38" fontId="2" fillId="0" borderId="0" xfId="2" applyAlignment="1" applyProtection="1"/>
    <xf numFmtId="0" fontId="10" fillId="0" borderId="0" xfId="6" applyFont="1" applyAlignment="1">
      <alignment horizontal="center" wrapText="1"/>
    </xf>
    <xf numFmtId="0" fontId="11" fillId="0" borderId="0" xfId="6" applyFont="1"/>
    <xf numFmtId="0" fontId="12" fillId="0" borderId="0" xfId="5" applyFont="1"/>
    <xf numFmtId="0" fontId="16" fillId="0" borderId="0" xfId="0" applyFont="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5" xfId="0" applyBorder="1">
      <alignment vertical="center"/>
    </xf>
    <xf numFmtId="0" fontId="0" fillId="0" borderId="8" xfId="0" applyBorder="1">
      <alignment vertical="center"/>
    </xf>
    <xf numFmtId="0" fontId="17" fillId="0" borderId="0" xfId="0" applyFont="1" applyAlignment="1">
      <alignment horizontal="right" vertical="center"/>
    </xf>
    <xf numFmtId="38" fontId="18" fillId="3" borderId="0" xfId="2" applyFont="1" applyFill="1" applyBorder="1" applyAlignment="1"/>
    <xf numFmtId="0" fontId="17" fillId="0" borderId="0" xfId="0" applyFont="1">
      <alignment vertical="center"/>
    </xf>
    <xf numFmtId="0" fontId="16" fillId="0" borderId="0" xfId="0" applyFont="1" applyProtection="1">
      <alignment vertical="center"/>
      <protection locked="0"/>
    </xf>
    <xf numFmtId="0" fontId="15" fillId="0" borderId="9" xfId="0" applyFont="1" applyBorder="1" applyProtection="1">
      <alignment vertical="center"/>
      <protection locked="0"/>
    </xf>
    <xf numFmtId="38" fontId="15" fillId="0" borderId="9" xfId="2" applyFont="1" applyBorder="1" applyProtection="1">
      <alignment vertical="center"/>
      <protection locked="0"/>
    </xf>
    <xf numFmtId="0" fontId="15" fillId="0" borderId="9" xfId="0" applyFont="1" applyBorder="1" applyAlignment="1" applyProtection="1">
      <alignment horizontal="center" vertical="center"/>
      <protection locked="0"/>
    </xf>
    <xf numFmtId="177" fontId="15" fillId="0" borderId="9" xfId="0" applyNumberFormat="1" applyFont="1" applyBorder="1">
      <alignment vertical="center"/>
    </xf>
    <xf numFmtId="0" fontId="15" fillId="0" borderId="0" xfId="0" applyFont="1">
      <alignment vertical="center"/>
    </xf>
    <xf numFmtId="0" fontId="17" fillId="0" borderId="0" xfId="4" applyFont="1" applyAlignment="1">
      <alignment horizontal="right"/>
    </xf>
    <xf numFmtId="0" fontId="6" fillId="0" borderId="10" xfId="5" applyBorder="1" applyAlignment="1">
      <alignment vertical="center"/>
    </xf>
    <xf numFmtId="0" fontId="6" fillId="0" borderId="11" xfId="5" applyBorder="1" applyAlignment="1">
      <alignment vertical="center"/>
    </xf>
    <xf numFmtId="0" fontId="19" fillId="0" borderId="9" xfId="6" applyFont="1" applyBorder="1" applyProtection="1">
      <protection hidden="1"/>
    </xf>
    <xf numFmtId="38" fontId="19" fillId="3" borderId="9" xfId="2" applyFont="1" applyFill="1" applyBorder="1" applyAlignment="1"/>
    <xf numFmtId="183" fontId="19" fillId="3" borderId="9" xfId="2" applyNumberFormat="1" applyFont="1" applyFill="1" applyBorder="1" applyAlignment="1" applyProtection="1">
      <protection locked="0"/>
    </xf>
    <xf numFmtId="0" fontId="19" fillId="0" borderId="9" xfId="5" applyFont="1" applyBorder="1"/>
    <xf numFmtId="38" fontId="20" fillId="3" borderId="9" xfId="2" applyFont="1" applyFill="1" applyBorder="1" applyAlignment="1"/>
    <xf numFmtId="0" fontId="19" fillId="3" borderId="9" xfId="5" applyFont="1" applyFill="1" applyBorder="1"/>
    <xf numFmtId="0" fontId="9" fillId="0" borderId="0" xfId="5" applyFont="1"/>
    <xf numFmtId="0" fontId="9" fillId="0" borderId="9" xfId="0" applyFont="1" applyBorder="1" applyProtection="1">
      <alignment vertical="center"/>
      <protection locked="0"/>
    </xf>
    <xf numFmtId="182" fontId="15" fillId="0" borderId="9" xfId="0" applyNumberFormat="1" applyFont="1" applyBorder="1">
      <alignment vertical="center"/>
    </xf>
    <xf numFmtId="176" fontId="15" fillId="0" borderId="9" xfId="0" applyNumberFormat="1" applyFont="1" applyBorder="1" applyProtection="1">
      <alignment vertical="center"/>
      <protection locked="0"/>
    </xf>
    <xf numFmtId="0" fontId="15" fillId="0" borderId="9" xfId="0" applyFont="1" applyBorder="1">
      <alignment vertical="center"/>
    </xf>
    <xf numFmtId="0" fontId="15" fillId="0" borderId="0" xfId="0" applyFont="1" applyProtection="1">
      <alignment vertical="center"/>
      <protection locked="0"/>
    </xf>
    <xf numFmtId="176" fontId="15" fillId="0" borderId="0" xfId="0" applyNumberFormat="1" applyFont="1" applyProtection="1">
      <alignment vertical="center"/>
      <protection locked="0"/>
    </xf>
    <xf numFmtId="177" fontId="15" fillId="0" borderId="0" xfId="0" applyNumberFormat="1" applyFont="1">
      <alignment vertical="center"/>
    </xf>
    <xf numFmtId="0" fontId="9" fillId="0" borderId="9" xfId="0" applyFont="1" applyBorder="1" applyAlignment="1" applyProtection="1">
      <alignment horizontal="left" vertical="center"/>
      <protection locked="0"/>
    </xf>
    <xf numFmtId="182" fontId="15" fillId="0" borderId="9" xfId="0" applyNumberFormat="1" applyFont="1" applyBorder="1" applyProtection="1">
      <alignment vertical="center"/>
      <protection locked="0"/>
    </xf>
    <xf numFmtId="0" fontId="9" fillId="0" borderId="12" xfId="0" applyFont="1" applyBorder="1" applyProtection="1">
      <alignment vertical="center"/>
      <protection locked="0"/>
    </xf>
    <xf numFmtId="0" fontId="15" fillId="0" borderId="12" xfId="0" applyFont="1" applyBorder="1" applyProtection="1">
      <alignment vertical="center"/>
      <protection locked="0"/>
    </xf>
    <xf numFmtId="0" fontId="9" fillId="0" borderId="0" xfId="0" applyFont="1" applyProtection="1">
      <alignment vertical="center"/>
      <protection locked="0"/>
    </xf>
    <xf numFmtId="0" fontId="22" fillId="0" borderId="0" xfId="0" applyFont="1" applyProtection="1">
      <alignment vertical="center"/>
      <protection locked="0"/>
    </xf>
    <xf numFmtId="0" fontId="9" fillId="0" borderId="0" xfId="5" applyFont="1" applyAlignment="1">
      <alignment horizontal="right"/>
    </xf>
    <xf numFmtId="41" fontId="23" fillId="3" borderId="0" xfId="5" applyNumberFormat="1" applyFont="1" applyFill="1"/>
    <xf numFmtId="176" fontId="10" fillId="0" borderId="9" xfId="0" applyNumberFormat="1" applyFont="1" applyBorder="1">
      <alignment vertical="center"/>
    </xf>
    <xf numFmtId="38" fontId="18" fillId="0" borderId="0" xfId="2" applyFont="1" applyFill="1" applyBorder="1" applyAlignment="1"/>
    <xf numFmtId="38" fontId="10" fillId="0" borderId="9" xfId="0" applyNumberFormat="1" applyFont="1" applyBorder="1">
      <alignment vertical="center"/>
    </xf>
    <xf numFmtId="0" fontId="15" fillId="0" borderId="12" xfId="0" applyFont="1" applyBorder="1">
      <alignment vertical="center"/>
    </xf>
    <xf numFmtId="176" fontId="15" fillId="0" borderId="12" xfId="0" applyNumberFormat="1" applyFont="1" applyBorder="1" applyProtection="1">
      <alignment vertical="center"/>
      <protection locked="0"/>
    </xf>
    <xf numFmtId="177" fontId="15" fillId="0" borderId="12" xfId="0" applyNumberFormat="1" applyFont="1" applyBorder="1">
      <alignment vertical="center"/>
    </xf>
    <xf numFmtId="178" fontId="15" fillId="0" borderId="9" xfId="0" applyNumberFormat="1" applyFont="1" applyBorder="1" applyProtection="1">
      <alignment vertical="center"/>
      <protection locked="0"/>
    </xf>
    <xf numFmtId="0" fontId="9" fillId="0" borderId="9" xfId="0" applyFont="1" applyBorder="1" applyAlignment="1" applyProtection="1">
      <alignment vertical="center" shrinkToFit="1"/>
      <protection locked="0"/>
    </xf>
    <xf numFmtId="0" fontId="27" fillId="0" borderId="0" xfId="0" applyFont="1">
      <alignment vertical="center"/>
    </xf>
    <xf numFmtId="0" fontId="28" fillId="0" borderId="0" xfId="0" applyFont="1">
      <alignment vertical="center"/>
    </xf>
    <xf numFmtId="0" fontId="27" fillId="2" borderId="0" xfId="0" applyFont="1" applyFill="1" applyProtection="1">
      <alignment vertical="center"/>
      <protection locked="0"/>
    </xf>
    <xf numFmtId="0" fontId="29" fillId="0" borderId="0" xfId="0" applyFont="1">
      <alignment vertical="center"/>
    </xf>
    <xf numFmtId="176" fontId="27" fillId="0" borderId="0" xfId="0" applyNumberFormat="1" applyFont="1">
      <alignment vertical="center"/>
    </xf>
    <xf numFmtId="177" fontId="27" fillId="0" borderId="0" xfId="2" applyNumberFormat="1" applyFont="1" applyAlignment="1" applyProtection="1">
      <protection locked="0"/>
    </xf>
    <xf numFmtId="0" fontId="30" fillId="0" borderId="0" xfId="0" applyFont="1" applyAlignment="1">
      <alignment vertical="center" wrapText="1"/>
    </xf>
    <xf numFmtId="0" fontId="27" fillId="0" borderId="1" xfId="5" applyFont="1" applyBorder="1"/>
    <xf numFmtId="0" fontId="27" fillId="0" borderId="2" xfId="5" applyFont="1" applyBorder="1"/>
    <xf numFmtId="0" fontId="27" fillId="0" borderId="3" xfId="5" applyFont="1" applyBorder="1"/>
    <xf numFmtId="0" fontId="27" fillId="0" borderId="0" xfId="0" applyFont="1" applyProtection="1">
      <alignment vertical="center"/>
      <protection locked="0"/>
    </xf>
    <xf numFmtId="0" fontId="27" fillId="0" borderId="4" xfId="5" applyFont="1" applyBorder="1"/>
    <xf numFmtId="0" fontId="27" fillId="0" borderId="0" xfId="5" applyFont="1"/>
    <xf numFmtId="177" fontId="31" fillId="0" borderId="0" xfId="5" applyNumberFormat="1" applyFont="1"/>
    <xf numFmtId="0" fontId="27" fillId="0" borderId="5" xfId="5" applyFont="1" applyBorder="1"/>
    <xf numFmtId="0" fontId="32" fillId="0" borderId="0" xfId="0" applyFont="1">
      <alignment vertical="center"/>
    </xf>
    <xf numFmtId="1" fontId="27" fillId="0" borderId="0" xfId="0" applyNumberFormat="1" applyFont="1">
      <alignment vertical="center"/>
    </xf>
    <xf numFmtId="38" fontId="27" fillId="0" borderId="0" xfId="2" applyFont="1" applyAlignment="1" applyProtection="1"/>
    <xf numFmtId="177" fontId="27" fillId="0" borderId="0" xfId="0" applyNumberFormat="1" applyFont="1" applyAlignment="1">
      <alignment horizontal="right" vertical="center"/>
    </xf>
    <xf numFmtId="0" fontId="27" fillId="0" borderId="4" xfId="5" applyFont="1" applyBorder="1" applyAlignment="1">
      <alignment vertical="center"/>
    </xf>
    <xf numFmtId="0" fontId="27" fillId="0" borderId="10" xfId="5" applyFont="1" applyBorder="1" applyAlignment="1">
      <alignment vertical="center"/>
    </xf>
    <xf numFmtId="0" fontId="27" fillId="0" borderId="11" xfId="5" applyFont="1" applyBorder="1" applyAlignment="1">
      <alignment vertical="center"/>
    </xf>
    <xf numFmtId="0" fontId="27" fillId="0" borderId="5" xfId="5" applyFont="1" applyBorder="1" applyAlignment="1">
      <alignment vertical="center"/>
    </xf>
    <xf numFmtId="0" fontId="33" fillId="0" borderId="0" xfId="0" applyFont="1">
      <alignment vertical="center"/>
    </xf>
    <xf numFmtId="0" fontId="30" fillId="0" borderId="0" xfId="5" applyFont="1" applyAlignment="1">
      <alignment horizontal="right"/>
    </xf>
    <xf numFmtId="41" fontId="34" fillId="3" borderId="0" xfId="5" applyNumberFormat="1" applyFont="1" applyFill="1"/>
    <xf numFmtId="0" fontId="30" fillId="0" borderId="0" xfId="5" applyFont="1"/>
    <xf numFmtId="0" fontId="30" fillId="0" borderId="9" xfId="0" applyFont="1" applyBorder="1" applyProtection="1">
      <alignment vertical="center"/>
      <protection locked="0"/>
    </xf>
    <xf numFmtId="178" fontId="30" fillId="0" borderId="9" xfId="0" applyNumberFormat="1" applyFont="1" applyBorder="1" applyProtection="1">
      <alignment vertical="center"/>
      <protection locked="0"/>
    </xf>
    <xf numFmtId="182" fontId="30" fillId="0" borderId="9" xfId="0" applyNumberFormat="1" applyFont="1" applyBorder="1" applyAlignment="1" applyProtection="1">
      <alignment horizontal="right" vertical="center"/>
      <protection locked="0"/>
    </xf>
    <xf numFmtId="178" fontId="30" fillId="0" borderId="9" xfId="0" applyNumberFormat="1" applyFont="1" applyBorder="1">
      <alignment vertical="center"/>
    </xf>
    <xf numFmtId="176" fontId="30" fillId="0" borderId="9" xfId="0" applyNumberFormat="1" applyFont="1" applyBorder="1" applyProtection="1">
      <alignment vertical="center"/>
      <protection locked="0"/>
    </xf>
    <xf numFmtId="177" fontId="30" fillId="0" borderId="9" xfId="0" applyNumberFormat="1" applyFont="1" applyBorder="1">
      <alignment vertical="center"/>
    </xf>
    <xf numFmtId="0" fontId="29" fillId="0" borderId="0" xfId="6" applyFont="1" applyAlignment="1">
      <alignment horizontal="center" wrapText="1"/>
    </xf>
    <xf numFmtId="0" fontId="27" fillId="0" borderId="0" xfId="6" applyFont="1"/>
    <xf numFmtId="0" fontId="35" fillId="0" borderId="9" xfId="6" applyFont="1" applyBorder="1" applyProtection="1">
      <protection hidden="1"/>
    </xf>
    <xf numFmtId="38" fontId="35" fillId="3" borderId="9" xfId="2" applyFont="1" applyFill="1" applyBorder="1" applyAlignment="1"/>
    <xf numFmtId="0" fontId="30" fillId="0" borderId="5" xfId="5" applyFont="1" applyBorder="1"/>
    <xf numFmtId="0" fontId="35" fillId="0" borderId="9" xfId="6" applyFont="1" applyBorder="1" applyAlignment="1" applyProtection="1">
      <alignment wrapText="1"/>
      <protection hidden="1"/>
    </xf>
    <xf numFmtId="183" fontId="35" fillId="3" borderId="9" xfId="2" applyNumberFormat="1" applyFont="1" applyFill="1" applyBorder="1" applyAlignment="1" applyProtection="1">
      <protection locked="0"/>
    </xf>
    <xf numFmtId="0" fontId="35" fillId="0" borderId="9" xfId="5" applyFont="1" applyBorder="1"/>
    <xf numFmtId="0" fontId="36" fillId="0" borderId="0" xfId="0" applyFont="1">
      <alignment vertical="center"/>
    </xf>
    <xf numFmtId="182" fontId="30" fillId="0" borderId="9" xfId="0" applyNumberFormat="1" applyFont="1" applyBorder="1" applyProtection="1">
      <alignment vertical="center"/>
      <protection locked="0"/>
    </xf>
    <xf numFmtId="182" fontId="30" fillId="0" borderId="9" xfId="0" applyNumberFormat="1" applyFont="1" applyBorder="1">
      <alignment vertical="center"/>
    </xf>
    <xf numFmtId="0" fontId="35" fillId="3" borderId="9" xfId="5" applyFont="1" applyFill="1" applyBorder="1"/>
    <xf numFmtId="0" fontId="27" fillId="0" borderId="4" xfId="0" applyFont="1" applyBorder="1">
      <alignment vertical="center"/>
    </xf>
    <xf numFmtId="0" fontId="37" fillId="0" borderId="0" xfId="0" applyFont="1" applyProtection="1">
      <alignment vertical="center"/>
      <protection hidden="1"/>
    </xf>
    <xf numFmtId="0" fontId="27" fillId="0" borderId="5" xfId="0" applyFont="1" applyBorder="1">
      <alignment vertical="center"/>
    </xf>
    <xf numFmtId="0" fontId="30" fillId="0" borderId="13" xfId="0" applyFont="1" applyBorder="1">
      <alignment vertical="center"/>
    </xf>
    <xf numFmtId="0" fontId="30" fillId="0" borderId="14" xfId="0" applyFont="1" applyBorder="1">
      <alignment vertical="center"/>
    </xf>
    <xf numFmtId="0" fontId="30" fillId="0" borderId="0" xfId="0" applyFont="1">
      <alignment vertical="center"/>
    </xf>
    <xf numFmtId="0" fontId="30" fillId="0" borderId="0" xfId="5" applyFont="1" applyAlignment="1">
      <alignment vertical="top"/>
    </xf>
    <xf numFmtId="0" fontId="27" fillId="0" borderId="6" xfId="5" applyFont="1" applyBorder="1"/>
    <xf numFmtId="0" fontId="30" fillId="0" borderId="7" xfId="5" applyFont="1" applyBorder="1"/>
    <xf numFmtId="0" fontId="27" fillId="0" borderId="7" xfId="5" applyFont="1" applyBorder="1"/>
    <xf numFmtId="0" fontId="27" fillId="0" borderId="8" xfId="5" applyFont="1" applyBorder="1"/>
    <xf numFmtId="0" fontId="30" fillId="0" borderId="0" xfId="0" applyFont="1" applyProtection="1">
      <alignment vertical="center"/>
      <protection locked="0"/>
    </xf>
    <xf numFmtId="176" fontId="30" fillId="0" borderId="0" xfId="0" applyNumberFormat="1" applyFont="1" applyProtection="1">
      <alignment vertical="center"/>
      <protection locked="0"/>
    </xf>
    <xf numFmtId="177" fontId="30" fillId="0" borderId="0" xfId="0" applyNumberFormat="1" applyFont="1">
      <alignment vertical="center"/>
    </xf>
    <xf numFmtId="0" fontId="30" fillId="0" borderId="9" xfId="0" applyFont="1" applyBorder="1" applyAlignment="1" applyProtection="1">
      <alignment horizontal="left" vertical="center"/>
      <protection locked="0"/>
    </xf>
    <xf numFmtId="176" fontId="27" fillId="0" borderId="0" xfId="0" applyNumberFormat="1" applyFont="1" applyProtection="1">
      <alignment vertical="center"/>
      <protection locked="0"/>
    </xf>
    <xf numFmtId="177" fontId="27" fillId="0" borderId="0" xfId="0" applyNumberFormat="1" applyFont="1">
      <alignment vertical="center"/>
    </xf>
    <xf numFmtId="0" fontId="28" fillId="0" borderId="0" xfId="0" applyFont="1" applyAlignment="1" applyProtection="1">
      <alignment horizontal="center" vertical="center"/>
      <protection locked="0"/>
    </xf>
    <xf numFmtId="0" fontId="27" fillId="4" borderId="0" xfId="0" applyFont="1" applyFill="1" applyProtection="1">
      <alignment vertical="center"/>
      <protection locked="0"/>
    </xf>
    <xf numFmtId="0" fontId="29" fillId="4" borderId="0" xfId="0" applyFont="1" applyFill="1" applyAlignment="1" applyProtection="1">
      <alignment horizontal="center" vertical="center"/>
      <protection locked="0"/>
    </xf>
    <xf numFmtId="0" fontId="29" fillId="0" borderId="0" xfId="0" applyFont="1" applyAlignment="1" applyProtection="1">
      <alignment horizontal="center" vertical="center"/>
      <protection locked="0"/>
    </xf>
    <xf numFmtId="0" fontId="38" fillId="4" borderId="0" xfId="0" applyFont="1" applyFill="1" applyAlignment="1" applyProtection="1">
      <alignment horizontal="left" vertical="center" indent="1"/>
      <protection locked="0"/>
    </xf>
    <xf numFmtId="0" fontId="27" fillId="4" borderId="0" xfId="0" applyFont="1" applyFill="1" applyAlignment="1" applyProtection="1">
      <alignment horizontal="left" vertical="center" indent="1"/>
      <protection locked="0"/>
    </xf>
    <xf numFmtId="0" fontId="39" fillId="4" borderId="0" xfId="0" applyFont="1" applyFill="1" applyAlignment="1" applyProtection="1">
      <alignment horizontal="left" vertical="center" indent="2"/>
      <protection locked="0"/>
    </xf>
    <xf numFmtId="0" fontId="33" fillId="0" borderId="0" xfId="0" applyFont="1" applyAlignment="1">
      <alignment vertical="center" wrapText="1"/>
    </xf>
    <xf numFmtId="0" fontId="33" fillId="0" borderId="9" xfId="0" applyFont="1" applyBorder="1" applyProtection="1">
      <alignment vertical="center"/>
      <protection locked="0"/>
    </xf>
    <xf numFmtId="0" fontId="33" fillId="0" borderId="9" xfId="0" applyFont="1" applyBorder="1">
      <alignment vertical="center"/>
    </xf>
    <xf numFmtId="0" fontId="33" fillId="0" borderId="9" xfId="0" applyFont="1" applyBorder="1" applyAlignment="1">
      <alignment horizontal="center" vertical="center" shrinkToFit="1"/>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6" xfId="0" applyFont="1" applyBorder="1" applyAlignment="1" applyProtection="1">
      <alignment horizontal="center" vertical="center" wrapText="1"/>
      <protection locked="0"/>
    </xf>
    <xf numFmtId="176" fontId="33" fillId="0" borderId="9" xfId="0" applyNumberFormat="1" applyFont="1" applyBorder="1" applyProtection="1">
      <alignment vertical="center"/>
      <protection locked="0"/>
    </xf>
    <xf numFmtId="0" fontId="33" fillId="0" borderId="9" xfId="0" applyFont="1" applyBorder="1" applyAlignment="1">
      <alignment horizontal="center" vertical="center"/>
    </xf>
    <xf numFmtId="38" fontId="33" fillId="0" borderId="9" xfId="2" applyFont="1" applyFill="1" applyBorder="1">
      <alignment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6" xfId="0" applyFont="1" applyBorder="1" applyAlignment="1">
      <alignment horizontal="center" vertical="center" wrapText="1"/>
    </xf>
    <xf numFmtId="176" fontId="33" fillId="0" borderId="15" xfId="0" applyNumberFormat="1" applyFont="1" applyBorder="1" applyAlignment="1" applyProtection="1">
      <alignment horizontal="center" vertical="center"/>
      <protection locked="0"/>
    </xf>
    <xf numFmtId="176" fontId="33" fillId="0" borderId="9" xfId="0" applyNumberFormat="1" applyFont="1" applyBorder="1" applyAlignment="1">
      <alignment horizontal="center" vertical="center"/>
    </xf>
    <xf numFmtId="0" fontId="33" fillId="0" borderId="0" xfId="0" applyFont="1" applyAlignment="1">
      <alignment horizontal="right" vertical="center"/>
    </xf>
    <xf numFmtId="38" fontId="40" fillId="3" borderId="0" xfId="2" applyFont="1" applyFill="1" applyBorder="1" applyAlignment="1"/>
    <xf numFmtId="0" fontId="33" fillId="0" borderId="0" xfId="3" applyFont="1" applyAlignment="1">
      <alignment horizontal="right"/>
    </xf>
    <xf numFmtId="38" fontId="40" fillId="0" borderId="0" xfId="2" applyFont="1" applyFill="1" applyBorder="1" applyAlignment="1"/>
    <xf numFmtId="0" fontId="30" fillId="0" borderId="9" xfId="0" applyFont="1" applyBorder="1">
      <alignment vertical="center"/>
    </xf>
    <xf numFmtId="0" fontId="33" fillId="0" borderId="0" xfId="0" applyFont="1" applyProtection="1">
      <alignment vertical="center"/>
      <protection locked="0"/>
    </xf>
    <xf numFmtId="0" fontId="27" fillId="0" borderId="9" xfId="0" applyFont="1" applyBorder="1">
      <alignment vertical="center"/>
    </xf>
    <xf numFmtId="0" fontId="27" fillId="0" borderId="9" xfId="0" applyFont="1" applyBorder="1" applyProtection="1">
      <alignment vertical="center"/>
      <protection locked="0"/>
    </xf>
    <xf numFmtId="38" fontId="30" fillId="0" borderId="9" xfId="2" applyFont="1" applyBorder="1" applyProtection="1">
      <alignment vertical="center"/>
      <protection locked="0"/>
    </xf>
    <xf numFmtId="0" fontId="30" fillId="0" borderId="0" xfId="0" applyFont="1" applyAlignment="1">
      <alignment horizontal="left" vertical="center" wrapText="1"/>
    </xf>
    <xf numFmtId="177" fontId="6" fillId="7" borderId="17" xfId="5" applyNumberFormat="1" applyFill="1" applyBorder="1" applyAlignment="1">
      <alignment vertical="center"/>
    </xf>
    <xf numFmtId="177" fontId="27" fillId="7" borderId="17" xfId="5" applyNumberFormat="1" applyFont="1" applyFill="1" applyBorder="1" applyAlignment="1">
      <alignment vertical="center"/>
    </xf>
    <xf numFmtId="0" fontId="30" fillId="8" borderId="9" xfId="0" applyFont="1" applyFill="1" applyBorder="1" applyAlignment="1">
      <alignment horizontal="center" vertical="center"/>
    </xf>
    <xf numFmtId="177" fontId="30" fillId="8" borderId="9" xfId="2" applyNumberFormat="1" applyFont="1" applyFill="1" applyBorder="1" applyAlignment="1" applyProtection="1">
      <alignment horizontal="center" vertical="center"/>
    </xf>
    <xf numFmtId="0" fontId="0" fillId="0" borderId="18" xfId="0" applyBorder="1">
      <alignment vertical="center"/>
    </xf>
    <xf numFmtId="0" fontId="15" fillId="0" borderId="13" xfId="0" applyFont="1" applyBorder="1">
      <alignment vertical="center"/>
    </xf>
    <xf numFmtId="0" fontId="15" fillId="0" borderId="18" xfId="0" applyFont="1" applyBorder="1">
      <alignment vertical="center"/>
    </xf>
    <xf numFmtId="0" fontId="25" fillId="0" borderId="2" xfId="6" applyFont="1" applyBorder="1"/>
    <xf numFmtId="0" fontId="27" fillId="0" borderId="0" xfId="7" applyFont="1"/>
    <xf numFmtId="0" fontId="27" fillId="0" borderId="0" xfId="7" applyFont="1" applyAlignment="1">
      <alignment horizontal="right"/>
    </xf>
    <xf numFmtId="0" fontId="27" fillId="0" borderId="13" xfId="6" applyFont="1" applyBorder="1" applyAlignment="1">
      <alignment vertical="center"/>
    </xf>
    <xf numFmtId="0" fontId="27" fillId="0" borderId="14" xfId="6" applyFont="1" applyBorder="1" applyAlignment="1">
      <alignment vertical="center"/>
    </xf>
    <xf numFmtId="179" fontId="27" fillId="0" borderId="9" xfId="7" applyNumberFormat="1" applyFont="1" applyBorder="1" applyAlignment="1">
      <alignment vertical="center"/>
    </xf>
    <xf numFmtId="179" fontId="27" fillId="0" borderId="19" xfId="7" applyNumberFormat="1" applyFont="1" applyBorder="1" applyAlignment="1">
      <alignment vertical="center"/>
    </xf>
    <xf numFmtId="0" fontId="27" fillId="0" borderId="13" xfId="6" applyFont="1" applyBorder="1" applyAlignment="1">
      <alignment vertical="center" wrapText="1"/>
    </xf>
    <xf numFmtId="0" fontId="27" fillId="0" borderId="20" xfId="0" applyFont="1" applyBorder="1">
      <alignment vertical="center"/>
    </xf>
    <xf numFmtId="0" fontId="27" fillId="0" borderId="13" xfId="7" applyFont="1" applyBorder="1" applyAlignment="1">
      <alignment vertical="center"/>
    </xf>
    <xf numFmtId="0" fontId="27" fillId="0" borderId="14" xfId="7" applyFont="1" applyBorder="1" applyAlignment="1">
      <alignment vertical="center"/>
    </xf>
    <xf numFmtId="0" fontId="27" fillId="0" borderId="9" xfId="7" applyFont="1" applyBorder="1" applyAlignment="1">
      <alignment horizontal="center" vertical="center"/>
    </xf>
    <xf numFmtId="0" fontId="27" fillId="3" borderId="9" xfId="7" applyFont="1" applyFill="1" applyBorder="1" applyAlignment="1">
      <alignment horizontal="center" vertical="center"/>
    </xf>
    <xf numFmtId="0" fontId="29" fillId="0" borderId="13" xfId="7" applyFont="1" applyBorder="1" applyAlignment="1">
      <alignment horizontal="center"/>
    </xf>
    <xf numFmtId="0" fontId="29" fillId="0" borderId="18" xfId="7" applyFont="1" applyBorder="1" applyAlignment="1">
      <alignment horizontal="center"/>
    </xf>
    <xf numFmtId="0" fontId="29" fillId="0" borderId="0" xfId="7" applyFont="1"/>
    <xf numFmtId="0" fontId="39" fillId="0" borderId="0" xfId="7" applyFont="1"/>
    <xf numFmtId="177" fontId="27" fillId="0" borderId="0" xfId="7" applyNumberFormat="1" applyFont="1"/>
    <xf numFmtId="179" fontId="27" fillId="9" borderId="10" xfId="7" applyNumberFormat="1" applyFont="1" applyFill="1" applyBorder="1"/>
    <xf numFmtId="0" fontId="27" fillId="0" borderId="9" xfId="7" applyFont="1" applyBorder="1" applyAlignment="1">
      <alignment horizontal="center"/>
    </xf>
    <xf numFmtId="0" fontId="27" fillId="0" borderId="0" xfId="7" applyFont="1" applyAlignment="1">
      <alignment horizontal="center" vertical="top"/>
    </xf>
    <xf numFmtId="0" fontId="27" fillId="0" borderId="0" xfId="7" applyFont="1" applyAlignment="1">
      <alignment horizontal="left"/>
    </xf>
    <xf numFmtId="0" fontId="27" fillId="0" borderId="0" xfId="7" applyFont="1" applyAlignment="1">
      <alignment wrapText="1"/>
    </xf>
    <xf numFmtId="0" fontId="27" fillId="0" borderId="9" xfId="0" applyFont="1" applyBorder="1" applyAlignment="1">
      <alignment horizontal="center" vertical="center" wrapText="1"/>
    </xf>
    <xf numFmtId="0" fontId="27" fillId="5" borderId="9" xfId="0" applyFont="1" applyFill="1" applyBorder="1" applyAlignment="1">
      <alignment vertical="center" wrapText="1"/>
    </xf>
    <xf numFmtId="0" fontId="27" fillId="5" borderId="9" xfId="0" applyFont="1" applyFill="1" applyBorder="1" applyAlignment="1">
      <alignment horizontal="left" vertical="top" wrapText="1"/>
    </xf>
    <xf numFmtId="176" fontId="27" fillId="5" borderId="9" xfId="2" applyNumberFormat="1" applyFont="1" applyFill="1" applyBorder="1" applyAlignment="1" applyProtection="1">
      <alignment horizontal="left" vertical="top" wrapText="1"/>
    </xf>
    <xf numFmtId="177" fontId="27" fillId="5" borderId="9" xfId="2" applyNumberFormat="1" applyFont="1" applyFill="1" applyBorder="1" applyAlignment="1" applyProtection="1">
      <alignment horizontal="left" vertical="top" wrapText="1"/>
    </xf>
    <xf numFmtId="177" fontId="27" fillId="5" borderId="9" xfId="0" applyNumberFormat="1" applyFont="1" applyFill="1" applyBorder="1" applyAlignment="1">
      <alignment horizontal="left" vertical="top" wrapText="1"/>
    </xf>
    <xf numFmtId="0" fontId="27" fillId="0" borderId="0" xfId="0" applyFont="1" applyAlignment="1">
      <alignment vertical="center" wrapText="1"/>
    </xf>
    <xf numFmtId="0" fontId="27" fillId="0" borderId="9" xfId="0" applyFont="1" applyBorder="1" applyAlignment="1">
      <alignment horizontal="center" vertical="center"/>
    </xf>
    <xf numFmtId="0" fontId="27" fillId="0" borderId="9" xfId="0" applyFont="1" applyBorder="1" applyAlignment="1" applyProtection="1">
      <alignment horizontal="center" vertical="center"/>
      <protection locked="0"/>
    </xf>
    <xf numFmtId="176" fontId="27" fillId="3" borderId="9" xfId="0" applyNumberFormat="1" applyFont="1" applyFill="1" applyBorder="1" applyProtection="1">
      <alignment vertical="center"/>
      <protection locked="0"/>
    </xf>
    <xf numFmtId="177" fontId="27" fillId="0" borderId="9" xfId="0" applyNumberFormat="1" applyFont="1" applyBorder="1" applyProtection="1">
      <alignment vertical="center"/>
      <protection locked="0"/>
    </xf>
    <xf numFmtId="177" fontId="27" fillId="0" borderId="9" xfId="0" applyNumberFormat="1" applyFont="1" applyBorder="1">
      <alignment vertical="center"/>
    </xf>
    <xf numFmtId="0" fontId="27" fillId="0" borderId="0" xfId="7" applyFont="1" applyAlignment="1">
      <alignment horizontal="center"/>
    </xf>
    <xf numFmtId="177" fontId="27" fillId="3" borderId="9" xfId="7" applyNumberFormat="1" applyFont="1" applyFill="1" applyBorder="1"/>
    <xf numFmtId="0" fontId="27" fillId="0" borderId="9" xfId="7" applyFont="1" applyBorder="1" applyAlignment="1">
      <alignment vertical="top"/>
    </xf>
    <xf numFmtId="0" fontId="27" fillId="0" borderId="9" xfId="7" applyFont="1" applyBorder="1" applyAlignment="1">
      <alignment horizontal="justify" vertical="top"/>
    </xf>
    <xf numFmtId="0" fontId="27" fillId="0" borderId="19" xfId="7" applyFont="1" applyBorder="1" applyAlignment="1">
      <alignment horizontal="justify" vertical="top"/>
    </xf>
    <xf numFmtId="41" fontId="35" fillId="3" borderId="0" xfId="5" applyNumberFormat="1" applyFont="1" applyFill="1"/>
    <xf numFmtId="182" fontId="30" fillId="0" borderId="9" xfId="0" applyNumberFormat="1" applyFont="1" applyBorder="1" applyAlignment="1">
      <alignment horizontal="right" vertical="center"/>
    </xf>
    <xf numFmtId="0" fontId="30" fillId="0" borderId="9" xfId="0" applyFont="1" applyBorder="1" applyAlignment="1">
      <alignment vertical="center" wrapText="1"/>
    </xf>
    <xf numFmtId="0" fontId="30" fillId="0" borderId="12" xfId="0" applyFont="1" applyBorder="1" applyProtection="1">
      <alignment vertical="center"/>
      <protection locked="0"/>
    </xf>
    <xf numFmtId="182" fontId="37" fillId="0" borderId="12" xfId="0" applyNumberFormat="1" applyFont="1" applyBorder="1" applyProtection="1">
      <alignment vertical="center"/>
      <protection locked="0"/>
    </xf>
    <xf numFmtId="0" fontId="37" fillId="0" borderId="12" xfId="0" applyFont="1" applyBorder="1" applyProtection="1">
      <alignment vertical="center"/>
      <protection locked="0"/>
    </xf>
    <xf numFmtId="0" fontId="37" fillId="0" borderId="12" xfId="0" applyFont="1" applyBorder="1">
      <alignment vertical="center"/>
    </xf>
    <xf numFmtId="176" fontId="37" fillId="0" borderId="12" xfId="0" applyNumberFormat="1" applyFont="1" applyBorder="1" applyProtection="1">
      <alignment vertical="center"/>
      <protection locked="0"/>
    </xf>
    <xf numFmtId="177" fontId="37" fillId="0" borderId="12" xfId="0" applyNumberFormat="1" applyFont="1" applyBorder="1">
      <alignment vertical="center"/>
    </xf>
    <xf numFmtId="177" fontId="41" fillId="0" borderId="0" xfId="0" applyNumberFormat="1" applyFont="1">
      <alignment vertical="center"/>
    </xf>
    <xf numFmtId="38" fontId="35" fillId="0" borderId="0" xfId="2" applyFont="1" applyFill="1" applyBorder="1" applyAlignment="1"/>
    <xf numFmtId="0" fontId="35" fillId="0" borderId="0" xfId="5" applyFont="1"/>
    <xf numFmtId="0" fontId="42" fillId="0" borderId="0" xfId="5" applyFont="1"/>
    <xf numFmtId="176" fontId="33" fillId="0" borderId="0" xfId="0" applyNumberFormat="1" applyFont="1" applyProtection="1">
      <alignment vertical="center"/>
      <protection locked="0"/>
    </xf>
    <xf numFmtId="177" fontId="33" fillId="0" borderId="0" xfId="0" applyNumberFormat="1" applyFont="1">
      <alignment vertical="center"/>
    </xf>
    <xf numFmtId="0" fontId="33" fillId="0" borderId="0" xfId="4" applyFont="1" applyAlignment="1">
      <alignment horizontal="right"/>
    </xf>
    <xf numFmtId="0" fontId="43" fillId="0" borderId="0" xfId="0" applyFont="1" applyProtection="1">
      <alignment vertical="center"/>
      <protection locked="0"/>
    </xf>
    <xf numFmtId="0" fontId="33" fillId="0" borderId="16" xfId="0" applyFont="1" applyBorder="1">
      <alignment vertical="center"/>
    </xf>
    <xf numFmtId="0" fontId="33" fillId="0" borderId="16" xfId="0" applyFont="1" applyBorder="1" applyProtection="1">
      <alignment vertical="center"/>
      <protection locked="0"/>
    </xf>
    <xf numFmtId="176" fontId="33" fillId="0" borderId="16" xfId="0" applyNumberFormat="1" applyFont="1" applyBorder="1" applyProtection="1">
      <alignment vertical="center"/>
      <protection locked="0"/>
    </xf>
    <xf numFmtId="41" fontId="33" fillId="0" borderId="16" xfId="0" applyNumberFormat="1" applyFont="1" applyBorder="1" applyProtection="1">
      <alignment vertical="center"/>
      <protection locked="0"/>
    </xf>
    <xf numFmtId="38" fontId="33" fillId="0" borderId="16" xfId="0" applyNumberFormat="1" applyFont="1" applyBorder="1" applyProtection="1">
      <alignment vertical="center"/>
      <protection locked="0"/>
    </xf>
    <xf numFmtId="176" fontId="44" fillId="0" borderId="16" xfId="0" applyNumberFormat="1" applyFont="1" applyBorder="1">
      <alignment vertical="center"/>
    </xf>
    <xf numFmtId="177" fontId="30" fillId="8" borderId="21" xfId="2" applyNumberFormat="1" applyFont="1" applyFill="1" applyBorder="1" applyAlignment="1" applyProtection="1">
      <alignment horizontal="center" vertical="center"/>
    </xf>
    <xf numFmtId="0" fontId="30" fillId="8" borderId="9" xfId="0" applyFont="1" applyFill="1" applyBorder="1" applyAlignment="1">
      <alignment horizontal="left" vertical="center"/>
    </xf>
    <xf numFmtId="177" fontId="15" fillId="0" borderId="13" xfId="0" applyNumberFormat="1" applyFont="1" applyBorder="1">
      <alignment vertical="center"/>
    </xf>
    <xf numFmtId="0" fontId="15" fillId="0" borderId="18" xfId="0" applyFont="1" applyBorder="1" applyProtection="1">
      <alignment vertical="center"/>
      <protection locked="0"/>
    </xf>
    <xf numFmtId="0" fontId="2" fillId="0" borderId="18" xfId="0" applyFont="1" applyBorder="1">
      <alignment vertical="center"/>
    </xf>
    <xf numFmtId="0" fontId="2" fillId="0" borderId="14" xfId="0" applyFont="1" applyBorder="1">
      <alignment vertical="center"/>
    </xf>
    <xf numFmtId="0" fontId="0" fillId="0" borderId="14" xfId="0" applyBorder="1">
      <alignment vertical="center"/>
    </xf>
    <xf numFmtId="0" fontId="15" fillId="8" borderId="9" xfId="0" applyFont="1" applyFill="1" applyBorder="1">
      <alignment vertical="center"/>
    </xf>
    <xf numFmtId="176" fontId="15" fillId="8" borderId="9" xfId="0" applyNumberFormat="1" applyFont="1" applyFill="1" applyBorder="1">
      <alignment vertical="center"/>
    </xf>
    <xf numFmtId="177" fontId="15" fillId="8" borderId="13" xfId="2" applyNumberFormat="1" applyFont="1" applyFill="1" applyBorder="1" applyAlignment="1" applyProtection="1">
      <alignment vertical="center"/>
    </xf>
    <xf numFmtId="0" fontId="15" fillId="8" borderId="18" xfId="0" applyFont="1" applyFill="1" applyBorder="1">
      <alignment vertical="center"/>
    </xf>
    <xf numFmtId="0" fontId="0" fillId="8" borderId="18" xfId="0" applyFill="1" applyBorder="1">
      <alignment vertical="center"/>
    </xf>
    <xf numFmtId="0" fontId="0" fillId="8" borderId="14" xfId="0" applyFill="1" applyBorder="1">
      <alignment vertical="center"/>
    </xf>
    <xf numFmtId="0" fontId="15" fillId="8" borderId="13" xfId="0" applyFont="1" applyFill="1" applyBorder="1">
      <alignment vertical="center"/>
    </xf>
    <xf numFmtId="0" fontId="35" fillId="0" borderId="9" xfId="6" applyFont="1" applyBorder="1" applyAlignment="1" applyProtection="1">
      <alignment vertical="center"/>
      <protection hidden="1"/>
    </xf>
    <xf numFmtId="38" fontId="35" fillId="3" borderId="9" xfId="2" applyFont="1" applyFill="1" applyBorder="1" applyAlignment="1">
      <alignment vertical="center"/>
    </xf>
    <xf numFmtId="0" fontId="35" fillId="0" borderId="9" xfId="6" applyFont="1" applyBorder="1" applyAlignment="1" applyProtection="1">
      <alignment vertical="center" wrapText="1"/>
      <protection hidden="1"/>
    </xf>
    <xf numFmtId="183" fontId="35" fillId="3" borderId="9" xfId="2" applyNumberFormat="1" applyFont="1" applyFill="1" applyBorder="1" applyAlignment="1" applyProtection="1">
      <alignment vertical="center"/>
      <protection locked="0"/>
    </xf>
    <xf numFmtId="0" fontId="35" fillId="0" borderId="9" xfId="5" applyFont="1" applyBorder="1" applyAlignment="1">
      <alignment vertical="center"/>
    </xf>
    <xf numFmtId="0" fontId="35" fillId="3" borderId="9" xfId="5" applyFont="1" applyFill="1" applyBorder="1" applyAlignment="1">
      <alignment vertical="center"/>
    </xf>
    <xf numFmtId="0" fontId="35" fillId="0" borderId="9" xfId="0" applyFont="1" applyBorder="1">
      <alignment vertical="center"/>
    </xf>
    <xf numFmtId="181" fontId="35" fillId="3" borderId="9" xfId="5" applyNumberFormat="1" applyFont="1" applyFill="1" applyBorder="1" applyAlignment="1">
      <alignment vertical="center"/>
    </xf>
    <xf numFmtId="0" fontId="35" fillId="0" borderId="13" xfId="0" applyFont="1" applyBorder="1">
      <alignment vertical="center"/>
    </xf>
    <xf numFmtId="0" fontId="45" fillId="0" borderId="0" xfId="0" applyFont="1">
      <alignment vertical="center"/>
    </xf>
    <xf numFmtId="0" fontId="46" fillId="0" borderId="2" xfId="5" applyFont="1" applyBorder="1"/>
    <xf numFmtId="0" fontId="27" fillId="8" borderId="9" xfId="0" applyFont="1" applyFill="1" applyBorder="1" applyAlignment="1">
      <alignment horizontal="center" vertical="center"/>
    </xf>
    <xf numFmtId="176" fontId="27" fillId="8" borderId="9" xfId="0" applyNumberFormat="1" applyFont="1" applyFill="1" applyBorder="1" applyAlignment="1">
      <alignment horizontal="center" vertical="center"/>
    </xf>
    <xf numFmtId="177" fontId="27" fillId="8" borderId="9" xfId="2" applyNumberFormat="1" applyFont="1" applyFill="1" applyBorder="1" applyAlignment="1" applyProtection="1">
      <alignment horizontal="center" vertical="center"/>
    </xf>
    <xf numFmtId="0" fontId="30" fillId="8" borderId="13" xfId="0" applyFont="1" applyFill="1" applyBorder="1" applyAlignment="1">
      <alignment horizontal="left" vertical="center"/>
    </xf>
    <xf numFmtId="0" fontId="30" fillId="8" borderId="14" xfId="0" applyFont="1" applyFill="1" applyBorder="1" applyAlignment="1">
      <alignment horizontal="left" vertical="center"/>
    </xf>
    <xf numFmtId="0" fontId="30" fillId="8" borderId="18" xfId="0" applyFont="1" applyFill="1" applyBorder="1" applyAlignment="1">
      <alignment horizontal="center" vertical="center"/>
    </xf>
    <xf numFmtId="0" fontId="27" fillId="8" borderId="18" xfId="0" applyFont="1" applyFill="1" applyBorder="1" applyAlignment="1">
      <alignment horizontal="center" vertical="center"/>
    </xf>
    <xf numFmtId="0" fontId="27" fillId="8" borderId="14" xfId="0" applyFont="1" applyFill="1" applyBorder="1" applyAlignment="1">
      <alignment horizontal="center" vertical="center"/>
    </xf>
    <xf numFmtId="0" fontId="27" fillId="0" borderId="10" xfId="5" applyFont="1" applyBorder="1"/>
    <xf numFmtId="177" fontId="27" fillId="9" borderId="17" xfId="5" applyNumberFormat="1" applyFont="1" applyFill="1" applyBorder="1"/>
    <xf numFmtId="0" fontId="27" fillId="0" borderId="11" xfId="5" applyFont="1" applyBorder="1"/>
    <xf numFmtId="0" fontId="30" fillId="0" borderId="18" xfId="0" applyFont="1" applyBorder="1">
      <alignment vertical="center"/>
    </xf>
    <xf numFmtId="0" fontId="27" fillId="0" borderId="18" xfId="0" applyFont="1" applyBorder="1">
      <alignment vertical="center"/>
    </xf>
    <xf numFmtId="0" fontId="27" fillId="0" borderId="14" xfId="0" applyFont="1" applyBorder="1">
      <alignment vertical="center"/>
    </xf>
    <xf numFmtId="0" fontId="27" fillId="0" borderId="0" xfId="5" applyFont="1" applyAlignment="1">
      <alignment horizontal="right"/>
    </xf>
    <xf numFmtId="0" fontId="42" fillId="0" borderId="0" xfId="5" applyFont="1" applyAlignment="1">
      <alignment horizontal="left" indent="3"/>
    </xf>
    <xf numFmtId="0" fontId="45" fillId="0" borderId="18" xfId="0" applyFont="1" applyBorder="1">
      <alignment vertical="center"/>
    </xf>
    <xf numFmtId="0" fontId="45" fillId="0" borderId="14" xfId="0" applyFont="1" applyBorder="1">
      <alignment vertical="center"/>
    </xf>
    <xf numFmtId="0" fontId="30" fillId="0" borderId="0" xfId="6" applyFont="1" applyAlignment="1">
      <alignment horizontal="left" wrapText="1"/>
    </xf>
    <xf numFmtId="0" fontId="30" fillId="0" borderId="0" xfId="6" applyFont="1"/>
    <xf numFmtId="0" fontId="27" fillId="0" borderId="9" xfId="6" applyFont="1" applyBorder="1" applyProtection="1">
      <protection hidden="1"/>
    </xf>
    <xf numFmtId="38" fontId="42" fillId="10" borderId="9" xfId="2" applyFont="1" applyFill="1" applyBorder="1" applyAlignment="1"/>
    <xf numFmtId="180" fontId="42" fillId="10" borderId="9" xfId="1" applyNumberFormat="1" applyFont="1" applyFill="1" applyBorder="1" applyAlignment="1">
      <alignment horizontal="right"/>
    </xf>
    <xf numFmtId="0" fontId="27" fillId="0" borderId="0" xfId="6" applyFont="1" applyProtection="1">
      <protection hidden="1"/>
    </xf>
    <xf numFmtId="38" fontId="30" fillId="0" borderId="0" xfId="2" applyFont="1" applyFill="1" applyBorder="1" applyAlignment="1"/>
    <xf numFmtId="0" fontId="28" fillId="0" borderId="9" xfId="5" applyFont="1" applyBorder="1" applyAlignment="1">
      <alignment vertical="top"/>
    </xf>
    <xf numFmtId="0" fontId="42" fillId="10" borderId="9" xfId="5" applyFont="1" applyFill="1" applyBorder="1"/>
    <xf numFmtId="0" fontId="30" fillId="0" borderId="0" xfId="6" applyFont="1" applyProtection="1">
      <protection hidden="1"/>
    </xf>
    <xf numFmtId="0" fontId="29" fillId="0" borderId="9" xfId="5" applyFont="1" applyBorder="1" applyAlignment="1">
      <alignment horizontal="left"/>
    </xf>
    <xf numFmtId="0" fontId="27" fillId="0" borderId="9" xfId="5" applyFont="1" applyBorder="1"/>
    <xf numFmtId="0" fontId="27" fillId="0" borderId="9" xfId="5" applyFont="1" applyBorder="1" applyAlignment="1">
      <alignment horizontal="center" vertical="center" wrapText="1"/>
    </xf>
    <xf numFmtId="0" fontId="27" fillId="0" borderId="22" xfId="5" applyFont="1" applyBorder="1"/>
    <xf numFmtId="0" fontId="47" fillId="0" borderId="0" xfId="0" applyFont="1">
      <alignment vertical="center"/>
    </xf>
    <xf numFmtId="0" fontId="33" fillId="8" borderId="9" xfId="0" applyFont="1" applyFill="1" applyBorder="1" applyProtection="1">
      <alignment vertical="center"/>
      <protection locked="0"/>
    </xf>
    <xf numFmtId="0" fontId="33" fillId="8" borderId="9" xfId="0" applyFont="1" applyFill="1" applyBorder="1">
      <alignment vertical="center"/>
    </xf>
    <xf numFmtId="0" fontId="33" fillId="8" borderId="9" xfId="0" applyFont="1" applyFill="1" applyBorder="1" applyAlignment="1">
      <alignment horizontal="center" vertical="center" shrinkToFit="1"/>
    </xf>
    <xf numFmtId="0" fontId="33" fillId="8" borderId="15" xfId="0" applyFont="1" applyFill="1" applyBorder="1" applyAlignment="1" applyProtection="1">
      <alignment horizontal="center" vertical="center"/>
      <protection locked="0"/>
    </xf>
    <xf numFmtId="0" fontId="33" fillId="8" borderId="16" xfId="0" applyFont="1" applyFill="1" applyBorder="1" applyAlignment="1" applyProtection="1">
      <alignment horizontal="center" vertical="center"/>
      <protection locked="0"/>
    </xf>
    <xf numFmtId="0" fontId="33" fillId="8" borderId="16" xfId="0" applyFont="1" applyFill="1" applyBorder="1" applyAlignment="1" applyProtection="1">
      <alignment horizontal="center" vertical="center" wrapText="1"/>
      <protection locked="0"/>
    </xf>
    <xf numFmtId="177" fontId="30" fillId="6" borderId="9" xfId="0" applyNumberFormat="1" applyFont="1" applyFill="1" applyBorder="1">
      <alignment vertical="center"/>
    </xf>
    <xf numFmtId="177" fontId="27" fillId="9" borderId="17" xfId="5" applyNumberFormat="1" applyFont="1" applyFill="1" applyBorder="1" applyAlignment="1">
      <alignment vertical="center"/>
    </xf>
    <xf numFmtId="0" fontId="8" fillId="0" borderId="0" xfId="5" applyFont="1" applyBorder="1"/>
    <xf numFmtId="0" fontId="6" fillId="0" borderId="0" xfId="5" applyBorder="1"/>
    <xf numFmtId="0" fontId="48" fillId="0" borderId="0" xfId="6" applyFont="1" applyBorder="1"/>
    <xf numFmtId="0" fontId="48" fillId="0" borderId="0" xfId="5" applyFont="1" applyAlignment="1">
      <alignment vertical="top"/>
    </xf>
    <xf numFmtId="0" fontId="51" fillId="0" borderId="0" xfId="5" applyFont="1" applyAlignment="1">
      <alignment vertical="top"/>
    </xf>
    <xf numFmtId="0" fontId="52" fillId="0" borderId="2" xfId="6" applyFont="1" applyBorder="1"/>
    <xf numFmtId="0" fontId="58" fillId="0" borderId="0" xfId="6" applyFont="1"/>
    <xf numFmtId="0" fontId="33" fillId="0" borderId="0" xfId="0" applyFont="1" applyFill="1">
      <alignment vertical="center"/>
    </xf>
    <xf numFmtId="0" fontId="33" fillId="0" borderId="0" xfId="0" applyFont="1" applyFill="1" applyProtection="1">
      <alignment vertical="center"/>
      <protection locked="0"/>
    </xf>
    <xf numFmtId="0" fontId="33" fillId="0" borderId="9" xfId="0" applyFont="1" applyFill="1" applyBorder="1">
      <alignment vertical="center"/>
    </xf>
    <xf numFmtId="176" fontId="33" fillId="0" borderId="9" xfId="0" applyNumberFormat="1" applyFont="1" applyFill="1" applyBorder="1" applyProtection="1">
      <alignment vertical="center"/>
      <protection locked="0"/>
    </xf>
    <xf numFmtId="0" fontId="33" fillId="0" borderId="9" xfId="0" applyFont="1" applyFill="1" applyBorder="1" applyAlignment="1">
      <alignment horizontal="center" vertical="center"/>
    </xf>
    <xf numFmtId="0" fontId="27" fillId="0" borderId="9" xfId="0" applyFont="1" applyFill="1" applyBorder="1">
      <alignment vertical="center"/>
    </xf>
    <xf numFmtId="0" fontId="33" fillId="0" borderId="15" xfId="0" applyFont="1" applyFill="1" applyBorder="1" applyAlignment="1" applyProtection="1">
      <alignment horizontal="center" vertical="center"/>
      <protection locked="0"/>
    </xf>
    <xf numFmtId="0" fontId="33" fillId="0" borderId="16" xfId="0" applyFont="1" applyFill="1" applyBorder="1" applyAlignment="1">
      <alignment horizontal="center" vertical="center"/>
    </xf>
    <xf numFmtId="0" fontId="33" fillId="0" borderId="16" xfId="0" applyFont="1" applyFill="1" applyBorder="1" applyAlignment="1">
      <alignment horizontal="center" vertical="center" wrapText="1"/>
    </xf>
    <xf numFmtId="0" fontId="45" fillId="0" borderId="0" xfId="0" applyFont="1" applyFill="1">
      <alignment vertical="center"/>
    </xf>
    <xf numFmtId="0" fontId="27" fillId="0" borderId="0" xfId="0" applyFont="1" applyFill="1">
      <alignment vertical="center"/>
    </xf>
    <xf numFmtId="0" fontId="15" fillId="0" borderId="0" xfId="0" applyFont="1" applyAlignment="1">
      <alignment horizontal="right" vertical="center"/>
    </xf>
    <xf numFmtId="0" fontId="30" fillId="0" borderId="0" xfId="0" applyFont="1" applyAlignment="1">
      <alignment horizontal="right" vertical="center"/>
    </xf>
    <xf numFmtId="176" fontId="30" fillId="0" borderId="0" xfId="0" applyNumberFormat="1" applyFont="1" applyAlignment="1" applyProtection="1">
      <alignment horizontal="right" vertical="center"/>
      <protection locked="0"/>
    </xf>
    <xf numFmtId="0" fontId="15" fillId="0" borderId="13" xfId="0" applyFont="1" applyBorder="1" applyAlignment="1">
      <alignment vertical="center" wrapText="1"/>
    </xf>
    <xf numFmtId="0" fontId="15" fillId="0" borderId="18" xfId="0" applyFont="1" applyBorder="1" applyAlignment="1">
      <alignment vertical="center" wrapText="1"/>
    </xf>
    <xf numFmtId="0" fontId="15" fillId="0" borderId="13" xfId="0" applyFont="1" applyBorder="1" applyAlignment="1">
      <alignment horizontal="left" vertical="center" wrapText="1"/>
    </xf>
    <xf numFmtId="0" fontId="15" fillId="0" borderId="18" xfId="0" applyFont="1" applyBorder="1" applyAlignment="1">
      <alignment horizontal="left" vertical="center" wrapText="1"/>
    </xf>
    <xf numFmtId="0" fontId="15" fillId="0" borderId="14" xfId="0" applyFont="1" applyBorder="1" applyAlignment="1">
      <alignment horizontal="left" vertical="center" wrapText="1"/>
    </xf>
    <xf numFmtId="0" fontId="30" fillId="0" borderId="13" xfId="0" applyFont="1" applyBorder="1" applyAlignment="1">
      <alignment vertical="center" wrapText="1"/>
    </xf>
    <xf numFmtId="0" fontId="30" fillId="0" borderId="14" xfId="0" applyFont="1" applyBorder="1" applyAlignment="1">
      <alignment vertical="center" wrapText="1"/>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25" fillId="0" borderId="2" xfId="6" applyFont="1" applyBorder="1" applyAlignment="1">
      <alignment horizontal="left"/>
    </xf>
    <xf numFmtId="0" fontId="30" fillId="8" borderId="13"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29" fillId="0" borderId="19" xfId="5" applyFont="1" applyBorder="1" applyAlignment="1">
      <alignment horizontal="left" vertical="center"/>
    </xf>
    <xf numFmtId="0" fontId="27" fillId="0" borderId="23" xfId="0" applyFont="1" applyBorder="1">
      <alignment vertical="center"/>
    </xf>
    <xf numFmtId="0" fontId="27" fillId="0" borderId="19" xfId="5" applyFont="1" applyBorder="1" applyAlignment="1">
      <alignment horizontal="center" vertical="center" wrapText="1"/>
    </xf>
    <xf numFmtId="0" fontId="27" fillId="0" borderId="23" xfId="0" applyFont="1" applyBorder="1" applyAlignment="1">
      <alignment horizontal="center" vertical="center"/>
    </xf>
    <xf numFmtId="0" fontId="27" fillId="0" borderId="23" xfId="0" applyFont="1" applyBorder="1" applyAlignment="1">
      <alignment horizontal="left" vertical="center"/>
    </xf>
    <xf numFmtId="179" fontId="27" fillId="0" borderId="19" xfId="7" applyNumberFormat="1" applyFont="1" applyBorder="1" applyAlignment="1">
      <alignment vertical="center"/>
    </xf>
    <xf numFmtId="0" fontId="27" fillId="0" borderId="20" xfId="0" applyFont="1" applyBorder="1">
      <alignment vertical="center"/>
    </xf>
    <xf numFmtId="0" fontId="27" fillId="0" borderId="19" xfId="7" applyFont="1" applyBorder="1" applyAlignment="1">
      <alignment horizontal="justify" vertical="top" wrapText="1"/>
    </xf>
    <xf numFmtId="0" fontId="27" fillId="0" borderId="20" xfId="7" applyFont="1" applyBorder="1" applyAlignment="1">
      <alignment horizontal="justify" vertical="top" wrapText="1"/>
    </xf>
    <xf numFmtId="0" fontId="27" fillId="0" borderId="23" xfId="7" applyFont="1" applyBorder="1" applyAlignment="1">
      <alignment horizontal="justify" vertical="top" wrapText="1"/>
    </xf>
  </cellXfs>
  <cellStyles count="8">
    <cellStyle name="パーセント" xfId="1" builtinId="5"/>
    <cellStyle name="桁区切り" xfId="2" builtinId="6"/>
    <cellStyle name="標準" xfId="0" builtinId="0"/>
    <cellStyle name="標準_AR+2002年08月版list0626" xfId="3" xr:uid="{00000000-0005-0000-0000-000003000000}"/>
    <cellStyle name="標準_AR+2002年08月版list0626_退職金_LOGデータ容量計算my" xfId="4" xr:uid="{00000000-0005-0000-0000-000004000000}"/>
    <cellStyle name="標準_NEW_TBL" xfId="5" xr:uid="{00000000-0005-0000-0000-000005000000}"/>
    <cellStyle name="標準_Sheet1" xfId="6" xr:uid="{00000000-0005-0000-0000-000006000000}"/>
    <cellStyle name="標準_まとめ_DBsizeCORE_20040831"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95250</xdr:colOff>
      <xdr:row>33</xdr:row>
      <xdr:rowOff>38100</xdr:rowOff>
    </xdr:from>
    <xdr:ext cx="4276725" cy="642484"/>
    <xdr:sp macro="" textlink="">
      <xdr:nvSpPr>
        <xdr:cNvPr id="3" name="テキスト ボックス 2">
          <a:extLst>
            <a:ext uri="{FF2B5EF4-FFF2-40B4-BE49-F238E27FC236}">
              <a16:creationId xmlns:a16="http://schemas.microsoft.com/office/drawing/2014/main" id="{A6D7D677-9702-B574-A54E-BFB9CEE44CB4}"/>
            </a:ext>
          </a:extLst>
        </xdr:cNvPr>
        <xdr:cNvSpPr txBox="1"/>
      </xdr:nvSpPr>
      <xdr:spPr>
        <a:xfrm>
          <a:off x="257175" y="6553200"/>
          <a:ext cx="4276725"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　使用上の注意</a:t>
          </a:r>
        </a:p>
        <a:p>
          <a:r>
            <a:rPr kumimoji="1" lang="ja-JP" altLang="en-US" sz="1100" b="1">
              <a:solidFill>
                <a:srgbClr val="FF0000"/>
              </a:solidFill>
            </a:rPr>
            <a:t>　上記、業務分析のセルが黄色内及び</a:t>
          </a:r>
        </a:p>
        <a:p>
          <a:r>
            <a:rPr kumimoji="1" lang="ja-JP" altLang="en-US" sz="1100" b="1">
              <a:solidFill>
                <a:srgbClr val="FF0000"/>
              </a:solidFill>
            </a:rPr>
            <a:t>　各項目及び</a:t>
          </a:r>
          <a:r>
            <a:rPr kumimoji="1" lang="en-US" altLang="ja-JP" sz="1100" b="1">
              <a:solidFill>
                <a:srgbClr val="FF0000"/>
              </a:solidFill>
            </a:rPr>
            <a:t>1</a:t>
          </a:r>
          <a:r>
            <a:rPr kumimoji="1" lang="ja-JP" altLang="en-US" sz="1100" b="1">
              <a:solidFill>
                <a:srgbClr val="FF0000"/>
              </a:solidFill>
            </a:rPr>
            <a:t>行目のブロックサイズのみ入力してください</a:t>
          </a:r>
          <a:r>
            <a:rPr kumimoji="1" lang="ja-JP" altLang="en-US" sz="1100"/>
            <a: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154781</xdr:colOff>
      <xdr:row>49</xdr:row>
      <xdr:rowOff>0</xdr:rowOff>
    </xdr:from>
    <xdr:ext cx="4276725" cy="642484"/>
    <xdr:sp macro="" textlink="">
      <xdr:nvSpPr>
        <xdr:cNvPr id="2" name="テキスト ボックス 1">
          <a:extLst>
            <a:ext uri="{FF2B5EF4-FFF2-40B4-BE49-F238E27FC236}">
              <a16:creationId xmlns:a16="http://schemas.microsoft.com/office/drawing/2014/main" id="{31F5598A-0913-1BD1-2630-540B40405FEB}"/>
            </a:ext>
          </a:extLst>
        </xdr:cNvPr>
        <xdr:cNvSpPr txBox="1"/>
      </xdr:nvSpPr>
      <xdr:spPr>
        <a:xfrm>
          <a:off x="321469" y="11287125"/>
          <a:ext cx="4276725"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rgbClr val="FF0000"/>
              </a:solidFill>
            </a:rPr>
            <a:t>※</a:t>
          </a:r>
          <a:r>
            <a:rPr kumimoji="1" lang="ja-JP" altLang="en-US" sz="1100" b="1">
              <a:solidFill>
                <a:srgbClr val="FF0000"/>
              </a:solidFill>
            </a:rPr>
            <a:t>　使用上の注意</a:t>
          </a:r>
        </a:p>
        <a:p>
          <a:r>
            <a:rPr kumimoji="1" lang="ja-JP" altLang="en-US" sz="1100" b="1">
              <a:solidFill>
                <a:srgbClr val="FF0000"/>
              </a:solidFill>
            </a:rPr>
            <a:t>　上記、業務分析のセルが黄色内及び</a:t>
          </a:r>
        </a:p>
        <a:p>
          <a:r>
            <a:rPr kumimoji="1" lang="ja-JP" altLang="en-US" sz="1100" b="1">
              <a:solidFill>
                <a:srgbClr val="FF0000"/>
              </a:solidFill>
            </a:rPr>
            <a:t>　各項目及び</a:t>
          </a:r>
          <a:r>
            <a:rPr kumimoji="1" lang="en-US" altLang="ja-JP" sz="1100" b="1">
              <a:solidFill>
                <a:srgbClr val="FF0000"/>
              </a:solidFill>
            </a:rPr>
            <a:t>1</a:t>
          </a:r>
          <a:r>
            <a:rPr kumimoji="1" lang="ja-JP" altLang="en-US" sz="1100" b="1">
              <a:solidFill>
                <a:srgbClr val="FF0000"/>
              </a:solidFill>
            </a:rPr>
            <a:t>行目のブロックサイズのみ入力してください</a:t>
          </a:r>
          <a:r>
            <a:rPr kumimoji="1" lang="ja-JP" altLang="en-US" sz="1100"/>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141"/>
  <sheetViews>
    <sheetView showGridLines="0" tabSelected="1" zoomScaleNormal="100" workbookViewId="0">
      <pane ySplit="5" topLeftCell="A6" activePane="bottomLeft" state="frozen"/>
      <selection activeCell="C14" sqref="C14"/>
      <selection pane="bottomLeft"/>
    </sheetView>
  </sheetViews>
  <sheetFormatPr defaultColWidth="8.875" defaultRowHeight="13.5"/>
  <cols>
    <col min="1" max="1" width="2.125" customWidth="1"/>
    <col min="2" max="2" width="3.125" customWidth="1"/>
    <col min="3" max="3" width="57.375" customWidth="1"/>
    <col min="4" max="4" width="10.875" customWidth="1"/>
    <col min="5" max="5" width="5.5" customWidth="1"/>
    <col min="6" max="6" width="4.5" customWidth="1"/>
    <col min="7" max="7" width="3" customWidth="1"/>
    <col min="8" max="8" width="12.5" style="8" customWidth="1"/>
    <col min="9" max="10" width="8.875" style="8" customWidth="1"/>
    <col min="11" max="11" width="14.25" style="8" customWidth="1"/>
    <col min="12" max="12" width="15.75" style="8" customWidth="1"/>
    <col min="13" max="13" width="15" style="8" customWidth="1"/>
    <col min="14" max="14" width="20.75" customWidth="1"/>
    <col min="15" max="15" width="14" style="9" customWidth="1"/>
    <col min="16" max="16" width="13.75" style="4" customWidth="1"/>
    <col min="17" max="17" width="20.75" style="27" customWidth="1"/>
    <col min="18" max="18" width="25.125" customWidth="1"/>
    <col min="19" max="20" width="8.875" customWidth="1"/>
  </cols>
  <sheetData>
    <row r="1" spans="2:32" ht="14.25" thickBot="1">
      <c r="H1" s="19" t="s">
        <v>106</v>
      </c>
      <c r="I1" s="2">
        <v>8192</v>
      </c>
      <c r="J1" s="1" t="s">
        <v>57</v>
      </c>
      <c r="K1" s="1"/>
      <c r="L1"/>
      <c r="M1"/>
      <c r="O1" s="3"/>
      <c r="P1" s="22"/>
    </row>
    <row r="2" spans="2:32" ht="35.25">
      <c r="B2" s="10"/>
      <c r="C2" s="310" t="s">
        <v>549</v>
      </c>
      <c r="D2" s="11"/>
      <c r="E2" s="12"/>
      <c r="F2" s="13"/>
      <c r="H2" s="19"/>
      <c r="J2" s="1"/>
      <c r="K2" s="1"/>
      <c r="L2"/>
      <c r="M2"/>
      <c r="O2" s="3"/>
      <c r="P2" s="22"/>
    </row>
    <row r="3" spans="2:32" ht="18" customHeight="1">
      <c r="B3" s="14"/>
      <c r="C3" s="307" t="s">
        <v>601</v>
      </c>
      <c r="D3" s="305"/>
      <c r="E3" s="306"/>
      <c r="F3" s="16"/>
      <c r="H3" s="19"/>
      <c r="J3" s="1"/>
      <c r="K3" s="1"/>
      <c r="L3"/>
      <c r="M3"/>
      <c r="O3" s="3"/>
      <c r="P3" s="22"/>
    </row>
    <row r="4" spans="2:32" ht="9" customHeight="1" thickBot="1">
      <c r="B4" s="14"/>
      <c r="C4" s="15"/>
      <c r="D4" s="21"/>
      <c r="E4" s="15"/>
      <c r="F4" s="16"/>
      <c r="H4" s="5"/>
      <c r="I4"/>
      <c r="J4"/>
      <c r="K4" s="6"/>
      <c r="L4" s="23"/>
      <c r="O4" s="3"/>
      <c r="P4" s="20" t="s">
        <v>107</v>
      </c>
    </row>
    <row r="5" spans="2:32" ht="21" customHeight="1" thickBot="1">
      <c r="B5" s="14"/>
      <c r="C5" s="43" t="s">
        <v>66</v>
      </c>
      <c r="D5" s="169">
        <f>ROUNDUP($P$32/1000,2)*1.1</f>
        <v>0.40700000000000003</v>
      </c>
      <c r="E5" s="44" t="s">
        <v>67</v>
      </c>
      <c r="F5" s="16"/>
      <c r="H5" s="246" t="s">
        <v>58</v>
      </c>
      <c r="I5" s="246" t="s">
        <v>59</v>
      </c>
      <c r="J5" s="246" t="s">
        <v>60</v>
      </c>
      <c r="K5" s="246" t="s">
        <v>61</v>
      </c>
      <c r="L5" s="246" t="s">
        <v>62</v>
      </c>
      <c r="M5" s="246" t="s">
        <v>63</v>
      </c>
      <c r="N5" s="246" t="s">
        <v>114</v>
      </c>
      <c r="O5" s="247" t="s">
        <v>115</v>
      </c>
      <c r="P5" s="248" t="s">
        <v>116</v>
      </c>
      <c r="Q5" s="252" t="s">
        <v>179</v>
      </c>
      <c r="R5" s="249"/>
      <c r="S5" s="250"/>
      <c r="T5" s="250"/>
      <c r="U5" s="250"/>
      <c r="V5" s="251"/>
    </row>
    <row r="6" spans="2:32" s="7" customFormat="1">
      <c r="B6" s="14"/>
      <c r="C6" s="65" t="s">
        <v>149</v>
      </c>
      <c r="D6" s="66">
        <v>1</v>
      </c>
      <c r="E6" s="51" t="s">
        <v>122</v>
      </c>
      <c r="F6" s="16"/>
      <c r="H6" s="52" t="s">
        <v>117</v>
      </c>
      <c r="I6" s="37">
        <v>10</v>
      </c>
      <c r="J6" s="37">
        <v>1</v>
      </c>
      <c r="K6" s="37">
        <v>19</v>
      </c>
      <c r="L6" s="37">
        <v>0</v>
      </c>
      <c r="M6" s="37">
        <f>30+252</f>
        <v>282</v>
      </c>
      <c r="N6" s="55">
        <f t="shared" ref="N6:N23" si="0">3+1*K6+3*L6+M6</f>
        <v>304</v>
      </c>
      <c r="O6" s="54">
        <f>D8</f>
        <v>123400</v>
      </c>
      <c r="P6" s="241">
        <f t="shared" ref="P6:P25" si="1" xml:space="preserve"> $I$1 * CEILING( 1* $O6/ FLOOR(1* ( CEILING(($I$1 -20 - 4- 48- ($J6 - 1) * 24 - 14) * (1 - $I6/100), 1) - 4) / (MAX(1 * 3 + 4 + 2, ( 3 *1+ 1 * $K6+ 3 * $L6+ $M6 )  )  + 2),1 ), 1 )/1024/1024</f>
        <v>41.921875</v>
      </c>
      <c r="Q6" s="174" t="s">
        <v>151</v>
      </c>
      <c r="R6" s="242" t="s">
        <v>150</v>
      </c>
      <c r="S6" s="173"/>
      <c r="T6" s="243"/>
      <c r="U6" s="243"/>
      <c r="V6" s="244"/>
      <c r="W6"/>
      <c r="X6"/>
      <c r="Y6"/>
      <c r="Z6"/>
      <c r="AA6"/>
      <c r="AB6"/>
      <c r="AC6"/>
      <c r="AD6"/>
      <c r="AE6"/>
      <c r="AF6"/>
    </row>
    <row r="7" spans="2:32" ht="13.5" customHeight="1">
      <c r="B7" s="14"/>
      <c r="C7" s="24"/>
      <c r="D7" s="25"/>
      <c r="E7" s="15"/>
      <c r="F7" s="16"/>
      <c r="H7" s="52" t="s">
        <v>187</v>
      </c>
      <c r="I7" s="37">
        <v>10</v>
      </c>
      <c r="J7" s="37">
        <v>1</v>
      </c>
      <c r="K7" s="37">
        <v>108</v>
      </c>
      <c r="L7" s="37">
        <v>0</v>
      </c>
      <c r="M7" s="37">
        <f>30+358</f>
        <v>388</v>
      </c>
      <c r="N7" s="55">
        <f t="shared" si="0"/>
        <v>499</v>
      </c>
      <c r="O7" s="54">
        <f t="shared" ref="O7:O14" si="2">K36</f>
        <v>4.1000000000000005</v>
      </c>
      <c r="P7" s="241">
        <f t="shared" si="1"/>
        <v>7.8125E-3</v>
      </c>
      <c r="Q7" s="326" t="s">
        <v>145</v>
      </c>
      <c r="R7" s="327"/>
      <c r="S7" s="173"/>
      <c r="T7" s="173"/>
      <c r="U7" s="173"/>
      <c r="V7" s="245"/>
      <c r="W7" s="7"/>
      <c r="X7" s="7"/>
      <c r="Y7" s="7"/>
      <c r="Z7" s="7"/>
      <c r="AA7" s="7"/>
      <c r="AB7" s="7"/>
      <c r="AC7" s="7"/>
      <c r="AD7" s="7"/>
      <c r="AE7" s="7"/>
      <c r="AF7" s="7"/>
    </row>
    <row r="8" spans="2:32">
      <c r="B8" s="14"/>
      <c r="C8" s="45" t="s">
        <v>152</v>
      </c>
      <c r="D8" s="46">
        <v>123400</v>
      </c>
      <c r="E8" s="26"/>
      <c r="F8" s="17"/>
      <c r="H8" s="52" t="s">
        <v>188</v>
      </c>
      <c r="I8" s="37">
        <v>10</v>
      </c>
      <c r="J8" s="37">
        <v>1</v>
      </c>
      <c r="K8" s="37">
        <v>109</v>
      </c>
      <c r="L8" s="37">
        <v>0</v>
      </c>
      <c r="M8" s="37">
        <f>30+360</f>
        <v>390</v>
      </c>
      <c r="N8" s="55">
        <f t="shared" si="0"/>
        <v>502</v>
      </c>
      <c r="O8" s="54">
        <f t="shared" si="2"/>
        <v>4.1000000000000005</v>
      </c>
      <c r="P8" s="241">
        <f t="shared" si="1"/>
        <v>7.8125E-3</v>
      </c>
      <c r="Q8" s="326" t="s">
        <v>145</v>
      </c>
      <c r="R8" s="327"/>
      <c r="S8" s="173"/>
      <c r="T8" s="173"/>
      <c r="U8" s="173"/>
      <c r="V8" s="245"/>
    </row>
    <row r="9" spans="2:32">
      <c r="B9" s="14"/>
      <c r="C9" s="45" t="s">
        <v>119</v>
      </c>
      <c r="D9" s="46">
        <f>NXPR!$D$7</f>
        <v>3000</v>
      </c>
      <c r="E9" s="26" t="s">
        <v>125</v>
      </c>
      <c r="F9" s="17"/>
      <c r="H9" s="52" t="s">
        <v>189</v>
      </c>
      <c r="I9" s="37">
        <v>10</v>
      </c>
      <c r="J9" s="37">
        <v>1</v>
      </c>
      <c r="K9" s="37">
        <v>107</v>
      </c>
      <c r="L9" s="37">
        <v>0</v>
      </c>
      <c r="M9" s="37">
        <f>30+696</f>
        <v>726</v>
      </c>
      <c r="N9" s="55">
        <f t="shared" si="0"/>
        <v>836</v>
      </c>
      <c r="O9" s="54">
        <f t="shared" si="2"/>
        <v>4.1000000000000005</v>
      </c>
      <c r="P9" s="241">
        <f t="shared" si="1"/>
        <v>7.8125E-3</v>
      </c>
      <c r="Q9" s="326" t="s">
        <v>145</v>
      </c>
      <c r="R9" s="327"/>
      <c r="S9" s="173"/>
      <c r="T9" s="173"/>
      <c r="U9" s="173"/>
      <c r="V9" s="245"/>
    </row>
    <row r="10" spans="2:32">
      <c r="B10" s="28"/>
      <c r="C10" s="48" t="s">
        <v>136</v>
      </c>
      <c r="D10" s="49">
        <f>NXPR!$D$9</f>
        <v>41</v>
      </c>
      <c r="E10" s="26" t="s">
        <v>126</v>
      </c>
      <c r="F10" s="31"/>
      <c r="H10" s="52" t="s">
        <v>190</v>
      </c>
      <c r="I10" s="37">
        <v>10</v>
      </c>
      <c r="J10" s="37">
        <v>1</v>
      </c>
      <c r="K10" s="37">
        <v>18</v>
      </c>
      <c r="L10" s="37">
        <v>0</v>
      </c>
      <c r="M10" s="37">
        <f>30+187</f>
        <v>217</v>
      </c>
      <c r="N10" s="55">
        <f t="shared" si="0"/>
        <v>238</v>
      </c>
      <c r="O10" s="54">
        <f t="shared" si="2"/>
        <v>120</v>
      </c>
      <c r="P10" s="241">
        <f t="shared" si="1"/>
        <v>3.125E-2</v>
      </c>
      <c r="Q10" s="174" t="s">
        <v>191</v>
      </c>
      <c r="R10" s="175"/>
      <c r="S10" s="173"/>
      <c r="T10" s="173"/>
      <c r="U10" s="173"/>
      <c r="V10" s="245"/>
    </row>
    <row r="11" spans="2:32">
      <c r="B11" s="28"/>
      <c r="C11" s="48" t="s">
        <v>138</v>
      </c>
      <c r="D11" s="50">
        <f>NXPR!$D$21</f>
        <v>2</v>
      </c>
      <c r="E11" s="26"/>
      <c r="F11" s="31"/>
      <c r="H11" s="52" t="s">
        <v>192</v>
      </c>
      <c r="I11" s="37">
        <v>10</v>
      </c>
      <c r="J11" s="37">
        <v>1</v>
      </c>
      <c r="K11" s="37">
        <v>15</v>
      </c>
      <c r="L11" s="37">
        <v>0</v>
      </c>
      <c r="M11" s="37">
        <f>30+83</f>
        <v>113</v>
      </c>
      <c r="N11" s="55">
        <f t="shared" si="0"/>
        <v>131</v>
      </c>
      <c r="O11" s="54">
        <f t="shared" si="2"/>
        <v>10</v>
      </c>
      <c r="P11" s="241">
        <f t="shared" si="1"/>
        <v>7.8125E-3</v>
      </c>
      <c r="Q11" s="174" t="s">
        <v>193</v>
      </c>
      <c r="R11" s="175"/>
      <c r="S11" s="173"/>
      <c r="T11" s="173"/>
      <c r="U11" s="173"/>
      <c r="V11" s="245"/>
    </row>
    <row r="12" spans="2:32">
      <c r="B12" s="28"/>
      <c r="C12" s="48" t="s">
        <v>139</v>
      </c>
      <c r="D12" s="50">
        <f>NXPR!$D$22</f>
        <v>12</v>
      </c>
      <c r="E12" s="26"/>
      <c r="F12" s="31"/>
      <c r="H12" s="52" t="s">
        <v>194</v>
      </c>
      <c r="I12" s="37">
        <v>10</v>
      </c>
      <c r="J12" s="37">
        <v>1</v>
      </c>
      <c r="K12" s="37">
        <v>56</v>
      </c>
      <c r="L12" s="37">
        <v>0</v>
      </c>
      <c r="M12" s="37">
        <f>30+232</f>
        <v>262</v>
      </c>
      <c r="N12" s="55">
        <f t="shared" si="0"/>
        <v>321</v>
      </c>
      <c r="O12" s="54">
        <f t="shared" si="2"/>
        <v>223</v>
      </c>
      <c r="P12" s="241">
        <f t="shared" si="1"/>
        <v>8.59375E-2</v>
      </c>
      <c r="Q12" s="174" t="s">
        <v>195</v>
      </c>
      <c r="R12" s="175"/>
      <c r="S12" s="173"/>
      <c r="T12" s="173"/>
      <c r="U12" s="173"/>
      <c r="V12" s="245"/>
    </row>
    <row r="13" spans="2:32">
      <c r="B13" s="28"/>
      <c r="C13" s="45" t="s">
        <v>282</v>
      </c>
      <c r="D13" s="46">
        <v>2</v>
      </c>
      <c r="E13" s="26" t="s">
        <v>125</v>
      </c>
      <c r="F13" s="31"/>
      <c r="H13" s="52" t="s">
        <v>196</v>
      </c>
      <c r="I13" s="37">
        <v>10</v>
      </c>
      <c r="J13" s="37">
        <v>1</v>
      </c>
      <c r="K13" s="37">
        <v>34</v>
      </c>
      <c r="L13" s="37">
        <v>0</v>
      </c>
      <c r="M13" s="37">
        <f>30+417</f>
        <v>447</v>
      </c>
      <c r="N13" s="55">
        <f t="shared" si="0"/>
        <v>484</v>
      </c>
      <c r="O13" s="54">
        <f t="shared" si="2"/>
        <v>10</v>
      </c>
      <c r="P13" s="241">
        <f t="shared" si="1"/>
        <v>7.8125E-3</v>
      </c>
      <c r="Q13" s="174" t="s">
        <v>193</v>
      </c>
      <c r="R13" s="175"/>
      <c r="S13" s="173"/>
      <c r="T13" s="173"/>
      <c r="U13" s="173"/>
      <c r="V13" s="245"/>
    </row>
    <row r="14" spans="2:32">
      <c r="B14" s="28"/>
      <c r="C14" s="45" t="s">
        <v>283</v>
      </c>
      <c r="D14" s="46">
        <v>1</v>
      </c>
      <c r="E14" s="26" t="s">
        <v>14</v>
      </c>
      <c r="F14" s="31"/>
      <c r="H14" s="52" t="s">
        <v>197</v>
      </c>
      <c r="I14" s="37">
        <v>10</v>
      </c>
      <c r="J14" s="37">
        <v>1</v>
      </c>
      <c r="K14" s="37">
        <v>16</v>
      </c>
      <c r="L14" s="37">
        <v>0</v>
      </c>
      <c r="M14" s="37">
        <f>30+186</f>
        <v>216</v>
      </c>
      <c r="N14" s="55">
        <f t="shared" si="0"/>
        <v>235</v>
      </c>
      <c r="O14" s="54">
        <f t="shared" si="2"/>
        <v>3000</v>
      </c>
      <c r="P14" s="241">
        <f t="shared" si="1"/>
        <v>0.78125</v>
      </c>
      <c r="Q14" s="174" t="s">
        <v>198</v>
      </c>
      <c r="R14" s="175"/>
      <c r="S14" s="173"/>
      <c r="T14" s="173"/>
      <c r="U14" s="173"/>
      <c r="V14" s="245"/>
    </row>
    <row r="15" spans="2:32">
      <c r="B15" s="28"/>
      <c r="C15" s="45" t="s">
        <v>284</v>
      </c>
      <c r="D15" s="47">
        <v>0</v>
      </c>
      <c r="E15" s="26" t="s">
        <v>285</v>
      </c>
      <c r="F15" s="31"/>
      <c r="H15" s="52" t="s">
        <v>204</v>
      </c>
      <c r="I15" s="37">
        <v>10</v>
      </c>
      <c r="J15" s="37">
        <v>1</v>
      </c>
      <c r="K15" s="37">
        <v>19</v>
      </c>
      <c r="L15" s="37">
        <v>1</v>
      </c>
      <c r="M15" s="37">
        <f>30+(5+10+40+5+10+34+8+4+128+255+5+128+128+1+10+4+8+10+4+8)</f>
        <v>835</v>
      </c>
      <c r="N15" s="55">
        <f t="shared" si="0"/>
        <v>860</v>
      </c>
      <c r="O15" s="54">
        <f t="shared" ref="O15:O23" si="3">K44</f>
        <v>2</v>
      </c>
      <c r="P15" s="241">
        <f t="shared" si="1"/>
        <v>7.8125E-3</v>
      </c>
      <c r="Q15" s="174" t="s">
        <v>215</v>
      </c>
      <c r="R15" s="175"/>
      <c r="S15" s="173"/>
      <c r="T15" s="173"/>
      <c r="U15" s="173"/>
      <c r="V15" s="245"/>
    </row>
    <row r="16" spans="2:32">
      <c r="B16" s="28"/>
      <c r="C16" s="45" t="s">
        <v>286</v>
      </c>
      <c r="D16" s="47">
        <v>0</v>
      </c>
      <c r="E16" s="26" t="s">
        <v>285</v>
      </c>
      <c r="F16" s="31"/>
      <c r="H16" s="52" t="s">
        <v>205</v>
      </c>
      <c r="I16" s="37">
        <v>10</v>
      </c>
      <c r="J16" s="37">
        <v>1</v>
      </c>
      <c r="K16" s="37">
        <v>10</v>
      </c>
      <c r="L16" s="37">
        <v>0</v>
      </c>
      <c r="M16" s="37">
        <f>30+(5+3+40+10+10+4+8+10+4+8)</f>
        <v>132</v>
      </c>
      <c r="N16" s="55">
        <f t="shared" si="0"/>
        <v>145</v>
      </c>
      <c r="O16" s="54">
        <f t="shared" si="3"/>
        <v>10</v>
      </c>
      <c r="P16" s="241">
        <f t="shared" si="1"/>
        <v>7.8125E-3</v>
      </c>
      <c r="Q16" s="174" t="s">
        <v>216</v>
      </c>
      <c r="R16" s="175"/>
      <c r="S16" s="173"/>
      <c r="T16" s="173"/>
      <c r="U16" s="173"/>
      <c r="V16" s="245"/>
    </row>
    <row r="17" spans="1:256">
      <c r="B17" s="28"/>
      <c r="C17" s="45" t="s">
        <v>287</v>
      </c>
      <c r="D17" s="46">
        <v>2</v>
      </c>
      <c r="E17" s="26"/>
      <c r="F17" s="31"/>
      <c r="H17" s="52" t="s">
        <v>206</v>
      </c>
      <c r="I17" s="37">
        <v>10</v>
      </c>
      <c r="J17" s="37">
        <v>1</v>
      </c>
      <c r="K17" s="37">
        <v>10</v>
      </c>
      <c r="L17" s="37">
        <v>0</v>
      </c>
      <c r="M17" s="37">
        <f>30+(5+3+5+1+10+4+8+10+4+8)</f>
        <v>88</v>
      </c>
      <c r="N17" s="55">
        <f>3+1*K17+3*L17+M17</f>
        <v>101</v>
      </c>
      <c r="O17" s="54">
        <f t="shared" si="3"/>
        <v>40</v>
      </c>
      <c r="P17" s="241">
        <f t="shared" si="1"/>
        <v>7.8125E-3</v>
      </c>
      <c r="Q17" s="174" t="s">
        <v>217</v>
      </c>
      <c r="R17" s="175"/>
      <c r="S17" s="173"/>
      <c r="T17" s="173"/>
      <c r="U17" s="173"/>
      <c r="V17" s="245"/>
    </row>
    <row r="18" spans="1:256">
      <c r="B18" s="28"/>
      <c r="C18" s="45" t="s">
        <v>288</v>
      </c>
      <c r="D18" s="46">
        <v>1</v>
      </c>
      <c r="E18" s="26" t="s">
        <v>14</v>
      </c>
      <c r="F18" s="31"/>
      <c r="H18" s="52" t="s">
        <v>207</v>
      </c>
      <c r="I18" s="37">
        <v>10</v>
      </c>
      <c r="J18" s="37">
        <v>1</v>
      </c>
      <c r="K18" s="37">
        <v>14</v>
      </c>
      <c r="L18" s="37">
        <v>0</v>
      </c>
      <c r="M18" s="37">
        <f>30+(5+3+40+10+1+3+3+10+4+8+10+4+8+1)</f>
        <v>140</v>
      </c>
      <c r="N18" s="55">
        <f>3+1*K18+3*L18+M18</f>
        <v>157</v>
      </c>
      <c r="O18" s="54">
        <f t="shared" si="3"/>
        <v>1</v>
      </c>
      <c r="P18" s="241">
        <f t="shared" si="1"/>
        <v>7.8125E-3</v>
      </c>
      <c r="Q18" s="174" t="s">
        <v>214</v>
      </c>
      <c r="R18" s="175"/>
      <c r="S18" s="173"/>
      <c r="T18" s="173"/>
      <c r="U18" s="173"/>
      <c r="V18" s="245"/>
    </row>
    <row r="19" spans="1:256">
      <c r="B19" s="28"/>
      <c r="F19" s="31"/>
      <c r="H19" s="52" t="s">
        <v>208</v>
      </c>
      <c r="I19" s="37">
        <v>10</v>
      </c>
      <c r="J19" s="37">
        <v>1</v>
      </c>
      <c r="K19" s="37">
        <v>9</v>
      </c>
      <c r="L19" s="37">
        <v>0</v>
      </c>
      <c r="M19" s="37">
        <f>30+(1+3+1+3+1+3+10+4+8)</f>
        <v>64</v>
      </c>
      <c r="N19" s="55">
        <f>3+1*K19+3*L19+M19</f>
        <v>76</v>
      </c>
      <c r="O19" s="54">
        <f t="shared" si="3"/>
        <v>1</v>
      </c>
      <c r="P19" s="241">
        <f t="shared" si="1"/>
        <v>7.8125E-3</v>
      </c>
      <c r="Q19" s="174" t="s">
        <v>219</v>
      </c>
      <c r="R19" s="175"/>
      <c r="S19" s="173"/>
      <c r="T19" s="173"/>
      <c r="U19" s="173"/>
      <c r="V19" s="245"/>
    </row>
    <row r="20" spans="1:256" s="27" customFormat="1">
      <c r="A20"/>
      <c r="B20" s="28"/>
      <c r="C20" t="s">
        <v>281</v>
      </c>
      <c r="D20"/>
      <c r="E20"/>
      <c r="F20" s="31"/>
      <c r="G20"/>
      <c r="H20" s="52" t="s">
        <v>209</v>
      </c>
      <c r="I20" s="37">
        <v>10</v>
      </c>
      <c r="J20" s="37">
        <v>1</v>
      </c>
      <c r="K20" s="37">
        <v>13</v>
      </c>
      <c r="L20" s="37">
        <v>0</v>
      </c>
      <c r="M20" s="37">
        <f>30+(5+3+30+1+3+1+1+3+3+1+10+4+8)</f>
        <v>103</v>
      </c>
      <c r="N20" s="55">
        <f t="shared" si="0"/>
        <v>119</v>
      </c>
      <c r="O20" s="54">
        <f t="shared" si="3"/>
        <v>30</v>
      </c>
      <c r="P20" s="241">
        <f t="shared" si="1"/>
        <v>7.8125E-3</v>
      </c>
      <c r="Q20" s="174" t="s">
        <v>218</v>
      </c>
      <c r="R20" s="175"/>
      <c r="S20" s="173"/>
      <c r="T20" s="173"/>
      <c r="U20" s="173"/>
      <c r="V20" s="245"/>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c r="B21" s="28"/>
      <c r="C21" s="18" t="s">
        <v>105</v>
      </c>
      <c r="F21" s="31"/>
      <c r="H21" s="52" t="s">
        <v>210</v>
      </c>
      <c r="I21" s="37">
        <v>10</v>
      </c>
      <c r="J21" s="37">
        <v>1</v>
      </c>
      <c r="K21" s="37">
        <v>11</v>
      </c>
      <c r="L21" s="37">
        <v>0</v>
      </c>
      <c r="M21" s="37">
        <f>30+(5+4+2+3+3+3+1+50+10+4+8)</f>
        <v>123</v>
      </c>
      <c r="N21" s="55">
        <f>3+1*K21+3*L21+M21</f>
        <v>137</v>
      </c>
      <c r="O21" s="54">
        <f t="shared" si="3"/>
        <v>30</v>
      </c>
      <c r="P21" s="241">
        <f t="shared" si="1"/>
        <v>7.8125E-3</v>
      </c>
      <c r="Q21" s="174" t="s">
        <v>218</v>
      </c>
      <c r="R21" s="175"/>
      <c r="S21" s="173"/>
      <c r="T21" s="173"/>
      <c r="U21" s="173"/>
      <c r="V21" s="245"/>
    </row>
    <row r="22" spans="1:256" ht="14.25" thickBot="1">
      <c r="B22" s="29"/>
      <c r="C22" s="30"/>
      <c r="D22" s="30"/>
      <c r="E22" s="30"/>
      <c r="F22" s="32"/>
      <c r="H22" s="52" t="s">
        <v>211</v>
      </c>
      <c r="I22" s="37">
        <v>10</v>
      </c>
      <c r="J22" s="37">
        <v>1</v>
      </c>
      <c r="K22" s="37">
        <v>12</v>
      </c>
      <c r="L22" s="37">
        <v>0</v>
      </c>
      <c r="M22" s="37">
        <f>30+(5+2+2+3+3+1+10+4+8+10+4+8)</f>
        <v>90</v>
      </c>
      <c r="N22" s="55">
        <f>3+1*K22+3*L22+M22</f>
        <v>105</v>
      </c>
      <c r="O22" s="54">
        <f t="shared" si="3"/>
        <v>6</v>
      </c>
      <c r="P22" s="241">
        <f t="shared" si="1"/>
        <v>7.8125E-3</v>
      </c>
      <c r="Q22" s="174" t="s">
        <v>220</v>
      </c>
      <c r="R22" s="175"/>
      <c r="S22" s="173"/>
      <c r="T22" s="173"/>
      <c r="U22" s="173"/>
      <c r="V22" s="245"/>
    </row>
    <row r="23" spans="1:256">
      <c r="H23" s="52" t="s">
        <v>212</v>
      </c>
      <c r="I23" s="37">
        <v>10</v>
      </c>
      <c r="J23" s="37">
        <v>1</v>
      </c>
      <c r="K23" s="37">
        <v>4</v>
      </c>
      <c r="L23" s="37">
        <v>1</v>
      </c>
      <c r="M23" s="37">
        <f>30+(5+8+4+2+255)</f>
        <v>304</v>
      </c>
      <c r="N23" s="55">
        <f t="shared" si="0"/>
        <v>314</v>
      </c>
      <c r="O23" s="54">
        <f t="shared" si="3"/>
        <v>1</v>
      </c>
      <c r="P23" s="241">
        <f t="shared" si="1"/>
        <v>7.8125E-3</v>
      </c>
      <c r="Q23" s="174" t="s">
        <v>219</v>
      </c>
      <c r="R23" s="175"/>
      <c r="S23" s="173"/>
      <c r="T23" s="173"/>
      <c r="U23" s="173"/>
      <c r="V23" s="245"/>
    </row>
    <row r="24" spans="1:256">
      <c r="H24" s="74" t="s">
        <v>579</v>
      </c>
      <c r="I24" s="37">
        <v>10</v>
      </c>
      <c r="J24" s="37">
        <v>1</v>
      </c>
      <c r="K24" s="37">
        <v>22</v>
      </c>
      <c r="L24" s="37">
        <v>0</v>
      </c>
      <c r="M24" s="37">
        <f>30+122</f>
        <v>152</v>
      </c>
      <c r="N24" s="55">
        <f>3+1*K24+3*L24+M24</f>
        <v>177</v>
      </c>
      <c r="O24" s="54">
        <f>K53+L53+M53</f>
        <v>9000</v>
      </c>
      <c r="P24" s="241">
        <f t="shared" si="1"/>
        <v>1.7578125</v>
      </c>
      <c r="Q24" s="174" t="s">
        <v>275</v>
      </c>
      <c r="R24" s="175"/>
      <c r="S24" s="173"/>
      <c r="T24" s="173"/>
      <c r="U24" s="173"/>
      <c r="V24" s="245"/>
    </row>
    <row r="25" spans="1:256" ht="32.25" customHeight="1">
      <c r="B25" t="s">
        <v>545</v>
      </c>
      <c r="H25" s="74" t="s">
        <v>580</v>
      </c>
      <c r="I25" s="37">
        <v>10</v>
      </c>
      <c r="J25" s="37">
        <v>1</v>
      </c>
      <c r="K25" s="37">
        <v>21</v>
      </c>
      <c r="L25" s="37">
        <v>0</v>
      </c>
      <c r="M25" s="37">
        <f>30+371</f>
        <v>401</v>
      </c>
      <c r="N25" s="55">
        <f>3+1*K25+3*L25+M25</f>
        <v>425</v>
      </c>
      <c r="O25" s="54">
        <f>K54+L54+M54</f>
        <v>18000</v>
      </c>
      <c r="P25" s="241">
        <f t="shared" si="1"/>
        <v>8.2734375</v>
      </c>
      <c r="Q25" s="328" t="s">
        <v>277</v>
      </c>
      <c r="R25" s="329"/>
      <c r="S25" s="329"/>
      <c r="T25" s="329"/>
      <c r="U25" s="329"/>
      <c r="V25" s="330"/>
    </row>
    <row r="26" spans="1:256">
      <c r="B26" t="s">
        <v>546</v>
      </c>
      <c r="H26" s="61"/>
      <c r="I26" s="62"/>
      <c r="J26" s="62"/>
      <c r="K26" s="62">
        <f>AVERAGE(K6:K25)</f>
        <v>31.35</v>
      </c>
      <c r="L26" s="62"/>
      <c r="M26" s="62">
        <f>AVERAGE(M6:M25)</f>
        <v>273.64999999999998</v>
      </c>
      <c r="N26" s="70"/>
      <c r="O26" s="71"/>
      <c r="P26" s="72"/>
      <c r="Q26" s="41"/>
      <c r="R26" s="41"/>
    </row>
    <row r="27" spans="1:256">
      <c r="B27" t="s">
        <v>547</v>
      </c>
      <c r="H27" s="74" t="s">
        <v>278</v>
      </c>
      <c r="I27" s="37">
        <v>10</v>
      </c>
      <c r="J27" s="37">
        <v>1</v>
      </c>
      <c r="K27" s="37">
        <v>22</v>
      </c>
      <c r="L27" s="37">
        <v>0</v>
      </c>
      <c r="M27" s="37">
        <f>30+352</f>
        <v>382</v>
      </c>
      <c r="N27" s="55">
        <f>3+1*K27+3*L27+M27</f>
        <v>407</v>
      </c>
      <c r="O27" s="54">
        <f>($D$9+($D$9*$D$13))*D14*$D$6</f>
        <v>9000</v>
      </c>
      <c r="P27" s="40">
        <f xml:space="preserve"> $I$1 * CEILING( 1* $O27/ FLOOR(1* ( CEILING(($I$1 -20 - 4- 48- ($J27 - 1) * 24 - 14) * (1 - $I27/100), 1) - 4) / (MAX(1 * 3 + 4 + 2, ( 3 *1+ 1 * $K27+ 3 * $L27+ $M27 )  )  + 2),1 ), 1 )/1024/1024</f>
        <v>4.140625</v>
      </c>
      <c r="Q27" s="41" t="s">
        <v>279</v>
      </c>
      <c r="R27" s="41"/>
    </row>
    <row r="28" spans="1:256">
      <c r="B28" t="s">
        <v>548</v>
      </c>
      <c r="H28" s="74" t="s">
        <v>578</v>
      </c>
      <c r="I28" s="37">
        <v>10</v>
      </c>
      <c r="J28" s="37">
        <v>1</v>
      </c>
      <c r="K28" s="37">
        <v>21</v>
      </c>
      <c r="L28" s="37">
        <v>0</v>
      </c>
      <c r="M28" s="37">
        <f>30+345</f>
        <v>375</v>
      </c>
      <c r="N28" s="55">
        <f>3+1*K28+3*L28+M28</f>
        <v>399</v>
      </c>
      <c r="O28" s="54">
        <f>($D$9+($D$9*$D$13))*D17*D18*$D$6</f>
        <v>18000</v>
      </c>
      <c r="P28" s="40">
        <f xml:space="preserve"> $I$1 * CEILING( 1* $O28/ FLOOR(1* ( CEILING(($I$1 -20 - 4- 48- ($J28 - 1) * 24 - 14) * (1 - $I28/100), 1) - 4) / (MAX(1 * 3 + 4 + 2, ( 3 *1+ 1 * $K28+ 3 * $L28+ $M28 )  )  + 2),1 ), 1 )/1024/1024</f>
        <v>7.8125</v>
      </c>
      <c r="Q28" s="41" t="s">
        <v>280</v>
      </c>
      <c r="R28" s="41"/>
    </row>
    <row r="29" spans="1:256">
      <c r="H29" s="63"/>
      <c r="I29" s="56"/>
      <c r="J29" s="56"/>
      <c r="K29" s="56"/>
      <c r="L29" s="56"/>
      <c r="M29" s="56"/>
      <c r="N29" s="41"/>
      <c r="O29" s="57"/>
      <c r="P29" s="58"/>
      <c r="Q29" s="41"/>
      <c r="R29" s="41"/>
    </row>
    <row r="30" spans="1:256">
      <c r="H30" s="59" t="s">
        <v>31</v>
      </c>
      <c r="I30" s="37">
        <v>10</v>
      </c>
      <c r="J30" s="37">
        <v>1</v>
      </c>
      <c r="K30" s="37">
        <v>14</v>
      </c>
      <c r="L30" s="37">
        <v>1</v>
      </c>
      <c r="M30" s="73">
        <f>30+(5+10+1+20+10+1+10+10+4+8+8+255+18+48+10)</f>
        <v>448</v>
      </c>
      <c r="N30" s="55">
        <f>3+1*K30+3*L30+M30</f>
        <v>468</v>
      </c>
      <c r="O30" s="54">
        <f>N55</f>
        <v>340744.45</v>
      </c>
      <c r="P30" s="40">
        <f xml:space="preserve"> $I$1 * CEILING( 1* $O30/ FLOOR(1* ( CEILING(($I$1 -20 - 4- 48- ($J30 - 1) * 24 - 14) * (1 - $I30/100), 1) - 4) / (MAX(1 * 3 + 4 + 2, ( 3 *1+ 1 * $K30+ 3 * $L30+ $M30 )  )  + 2),1 ), 1 )/1024/1024</f>
        <v>177.4765625</v>
      </c>
      <c r="Q30" s="41"/>
      <c r="R30" s="41"/>
    </row>
    <row r="31" spans="1:256">
      <c r="H31" s="59" t="s">
        <v>38</v>
      </c>
      <c r="I31" s="37">
        <v>10</v>
      </c>
      <c r="J31" s="37">
        <v>1</v>
      </c>
      <c r="K31" s="60">
        <f>K26</f>
        <v>31.35</v>
      </c>
      <c r="L31" s="37">
        <v>0</v>
      </c>
      <c r="M31" s="60">
        <f>M26</f>
        <v>273.64999999999998</v>
      </c>
      <c r="N31" s="53">
        <f>3+1*K31+3*L31+M31</f>
        <v>308</v>
      </c>
      <c r="O31" s="54">
        <f>N59</f>
        <v>404192.60000000003</v>
      </c>
      <c r="P31" s="40">
        <f xml:space="preserve"> $I$1 * CEILING( 1* $O31/ FLOOR(1* ( CEILING(($I$1 -20 - 4- 48- ($J31 - 1) * 24 - 14) * (1 -$J31/ 100), 1) - 4) / (MAX(1 * 3 + 4 + 2, ( 3 *1+ 1 * $K31+ 3 * $L31+ $M31 )  )  + 2),1 ), 1 )/1024/1024</f>
        <v>126.3125</v>
      </c>
      <c r="Q31" s="41"/>
      <c r="R31" s="41"/>
    </row>
    <row r="32" spans="1:256">
      <c r="H32" s="56"/>
      <c r="I32" s="56"/>
      <c r="J32" s="56"/>
      <c r="K32" s="56"/>
      <c r="L32" s="56"/>
      <c r="M32" s="56"/>
      <c r="N32" s="323" t="s">
        <v>600</v>
      </c>
      <c r="O32" s="54">
        <f>SUM(O6:O25)+SUM(O27:O28)+SUM(O30:O31)</f>
        <v>925833.35000000009</v>
      </c>
      <c r="P32" s="54">
        <f>SUM(P6:P25)+SUM(P27:P28)+SUM(P30:P31)</f>
        <v>368.703125</v>
      </c>
      <c r="Q32" s="41"/>
      <c r="R32" s="41"/>
    </row>
    <row r="33" spans="1:256" hidden="1">
      <c r="A33" s="27"/>
      <c r="G33" s="27"/>
      <c r="H33" s="64" t="s">
        <v>182</v>
      </c>
      <c r="I33" s="56"/>
      <c r="J33" s="56"/>
      <c r="K33" s="56"/>
      <c r="L33" s="56"/>
      <c r="M33" s="56"/>
      <c r="N33" s="56"/>
      <c r="O33" s="27"/>
      <c r="P33" s="35"/>
      <c r="R33" s="36"/>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row>
    <row r="34" spans="1:256" hidden="1">
      <c r="H34" s="55"/>
      <c r="I34" s="37"/>
      <c r="J34" s="37"/>
      <c r="K34" s="39" t="s">
        <v>183</v>
      </c>
      <c r="L34" s="39" t="s">
        <v>184</v>
      </c>
      <c r="M34" s="39" t="s">
        <v>185</v>
      </c>
      <c r="N34" s="55"/>
      <c r="O34" s="41"/>
      <c r="P34"/>
      <c r="Q34"/>
    </row>
    <row r="35" spans="1:256" hidden="1">
      <c r="H35" s="52" t="s">
        <v>117</v>
      </c>
      <c r="I35" s="37"/>
      <c r="J35" s="37"/>
      <c r="K35" s="38">
        <f>O6*D6</f>
        <v>123400</v>
      </c>
      <c r="L35" s="38">
        <f>SUM(O6)*0.5*D6</f>
        <v>61700</v>
      </c>
      <c r="M35" s="38">
        <f>O6*1*D6</f>
        <v>123400</v>
      </c>
      <c r="N35" s="67"/>
      <c r="O35" s="57"/>
      <c r="P35" s="58"/>
      <c r="Q35" s="41"/>
      <c r="R35" s="41"/>
    </row>
    <row r="36" spans="1:256" hidden="1">
      <c r="B36" s="27"/>
      <c r="C36" s="27"/>
      <c r="D36" s="27"/>
      <c r="E36" s="27"/>
      <c r="F36" s="27"/>
      <c r="H36" s="52" t="s">
        <v>181</v>
      </c>
      <c r="I36" s="37"/>
      <c r="J36" s="37"/>
      <c r="K36" s="38">
        <f>$D$10*0.1</f>
        <v>4.1000000000000005</v>
      </c>
      <c r="L36" s="38">
        <f t="shared" ref="L36:L43" si="4">K36*0.5</f>
        <v>2.0500000000000003</v>
      </c>
      <c r="M36" s="38">
        <v>0</v>
      </c>
      <c r="N36" s="55"/>
      <c r="O36" s="57"/>
      <c r="P36" s="58"/>
      <c r="Q36" s="41"/>
      <c r="R36" s="41"/>
    </row>
    <row r="37" spans="1:256" hidden="1">
      <c r="C37" s="33" t="s">
        <v>32</v>
      </c>
      <c r="D37" s="34">
        <v>1</v>
      </c>
      <c r="H37" s="52" t="s">
        <v>188</v>
      </c>
      <c r="I37" s="37"/>
      <c r="J37" s="37"/>
      <c r="K37" s="38">
        <f>$D$10*0.1</f>
        <v>4.1000000000000005</v>
      </c>
      <c r="L37" s="38">
        <f t="shared" si="4"/>
        <v>2.0500000000000003</v>
      </c>
      <c r="M37" s="38">
        <v>0</v>
      </c>
      <c r="N37" s="55"/>
      <c r="O37" s="57"/>
      <c r="P37" s="58"/>
      <c r="Q37" s="41"/>
      <c r="R37" s="41"/>
    </row>
    <row r="38" spans="1:256" hidden="1">
      <c r="C38" s="42" t="s">
        <v>33</v>
      </c>
      <c r="D38" s="34">
        <v>2</v>
      </c>
      <c r="H38" s="52" t="s">
        <v>189</v>
      </c>
      <c r="I38" s="37"/>
      <c r="J38" s="37"/>
      <c r="K38" s="38">
        <f>$D$10*0.1</f>
        <v>4.1000000000000005</v>
      </c>
      <c r="L38" s="38">
        <f t="shared" si="4"/>
        <v>2.0500000000000003</v>
      </c>
      <c r="M38" s="38">
        <v>0</v>
      </c>
      <c r="N38" s="55"/>
      <c r="O38" s="57"/>
      <c r="P38" s="58"/>
      <c r="Q38" s="41"/>
      <c r="R38" s="41"/>
    </row>
    <row r="39" spans="1:256" hidden="1">
      <c r="C39" s="42" t="s">
        <v>37</v>
      </c>
      <c r="D39" s="34">
        <v>1</v>
      </c>
      <c r="H39" s="52" t="s">
        <v>190</v>
      </c>
      <c r="I39" s="37"/>
      <c r="J39" s="37"/>
      <c r="K39" s="38">
        <f>12*10</f>
        <v>120</v>
      </c>
      <c r="L39" s="38">
        <f t="shared" si="4"/>
        <v>60</v>
      </c>
      <c r="M39" s="38">
        <v>0</v>
      </c>
      <c r="N39" s="55"/>
      <c r="O39" s="57"/>
      <c r="P39" s="58"/>
      <c r="Q39" s="41"/>
      <c r="R39" s="41"/>
    </row>
    <row r="40" spans="1:256" hidden="1">
      <c r="C40" s="42"/>
      <c r="D40" s="68"/>
      <c r="H40" s="52" t="s">
        <v>192</v>
      </c>
      <c r="I40" s="37"/>
      <c r="J40" s="37"/>
      <c r="K40" s="38">
        <v>10</v>
      </c>
      <c r="L40" s="38">
        <f t="shared" si="4"/>
        <v>5</v>
      </c>
      <c r="M40" s="38">
        <v>0</v>
      </c>
      <c r="N40" s="55"/>
      <c r="O40" s="57"/>
      <c r="P40" s="58"/>
      <c r="Q40" s="41"/>
      <c r="R40" s="41"/>
    </row>
    <row r="41" spans="1:256" hidden="1">
      <c r="C41" s="42"/>
      <c r="D41" s="68"/>
      <c r="H41" s="52" t="s">
        <v>194</v>
      </c>
      <c r="I41" s="37"/>
      <c r="J41" s="37"/>
      <c r="K41" s="38">
        <f>$D$10+$D$11+$D$12+168</f>
        <v>223</v>
      </c>
      <c r="L41" s="38">
        <f t="shared" si="4"/>
        <v>111.5</v>
      </c>
      <c r="M41" s="38">
        <v>0</v>
      </c>
      <c r="N41" s="55"/>
      <c r="O41" s="57"/>
      <c r="P41" s="58"/>
      <c r="Q41" s="41"/>
      <c r="R41" s="41"/>
    </row>
    <row r="42" spans="1:256" hidden="1">
      <c r="C42" s="42"/>
      <c r="D42" s="68"/>
      <c r="H42" s="52" t="s">
        <v>196</v>
      </c>
      <c r="I42" s="37"/>
      <c r="J42" s="37"/>
      <c r="K42" s="38">
        <v>10</v>
      </c>
      <c r="L42" s="38">
        <f t="shared" si="4"/>
        <v>5</v>
      </c>
      <c r="M42" s="38">
        <v>0</v>
      </c>
      <c r="N42" s="55"/>
      <c r="O42" s="57"/>
      <c r="P42" s="58"/>
      <c r="Q42" s="41"/>
      <c r="R42" s="41"/>
    </row>
    <row r="43" spans="1:256" hidden="1">
      <c r="C43" s="42"/>
      <c r="D43" s="68"/>
      <c r="H43" s="52" t="s">
        <v>197</v>
      </c>
      <c r="I43" s="37"/>
      <c r="J43" s="37"/>
      <c r="K43" s="38">
        <f>$D$9</f>
        <v>3000</v>
      </c>
      <c r="L43" s="38">
        <f t="shared" si="4"/>
        <v>1500</v>
      </c>
      <c r="M43" s="38">
        <v>0</v>
      </c>
      <c r="N43" s="55"/>
      <c r="O43" s="57"/>
      <c r="P43" s="58"/>
      <c r="Q43" s="41"/>
      <c r="R43" s="41"/>
    </row>
    <row r="44" spans="1:256" hidden="1">
      <c r="C44" s="42"/>
      <c r="D44" s="68"/>
      <c r="H44" s="52" t="s">
        <v>213</v>
      </c>
      <c r="I44" s="37"/>
      <c r="J44" s="37"/>
      <c r="K44" s="38">
        <v>2</v>
      </c>
      <c r="L44" s="38">
        <f t="shared" ref="L44:L52" si="5">K44*0.5</f>
        <v>1</v>
      </c>
      <c r="M44" s="38">
        <v>0</v>
      </c>
      <c r="N44" s="55"/>
      <c r="O44" s="57"/>
      <c r="P44" s="58"/>
      <c r="Q44" s="41"/>
      <c r="R44" s="41"/>
    </row>
    <row r="45" spans="1:256" hidden="1">
      <c r="C45" s="42"/>
      <c r="D45" s="68"/>
      <c r="H45" s="52" t="s">
        <v>205</v>
      </c>
      <c r="I45" s="37"/>
      <c r="J45" s="37"/>
      <c r="K45" s="38">
        <v>10</v>
      </c>
      <c r="L45" s="38">
        <f t="shared" si="5"/>
        <v>5</v>
      </c>
      <c r="M45" s="38">
        <v>0</v>
      </c>
      <c r="N45" s="55"/>
      <c r="O45" s="57"/>
      <c r="P45" s="58"/>
      <c r="Q45" s="41"/>
      <c r="R45" s="41"/>
    </row>
    <row r="46" spans="1:256" hidden="1">
      <c r="C46" s="42"/>
      <c r="D46" s="68"/>
      <c r="H46" s="52" t="s">
        <v>206</v>
      </c>
      <c r="I46" s="37"/>
      <c r="J46" s="37"/>
      <c r="K46" s="38">
        <v>40</v>
      </c>
      <c r="L46" s="38">
        <f t="shared" si="5"/>
        <v>20</v>
      </c>
      <c r="M46" s="38">
        <v>0</v>
      </c>
      <c r="N46" s="55"/>
      <c r="O46" s="57"/>
      <c r="P46" s="58"/>
      <c r="Q46" s="41"/>
      <c r="R46" s="41"/>
    </row>
    <row r="47" spans="1:256" hidden="1">
      <c r="C47" s="42"/>
      <c r="D47" s="68"/>
      <c r="H47" s="52" t="s">
        <v>207</v>
      </c>
      <c r="I47" s="37"/>
      <c r="J47" s="37"/>
      <c r="K47" s="38">
        <v>1</v>
      </c>
      <c r="L47" s="38">
        <f t="shared" si="5"/>
        <v>0.5</v>
      </c>
      <c r="M47" s="38">
        <v>0</v>
      </c>
      <c r="N47" s="55"/>
      <c r="O47" s="57"/>
      <c r="P47" s="58"/>
      <c r="Q47" s="41"/>
      <c r="R47" s="41"/>
    </row>
    <row r="48" spans="1:256" hidden="1">
      <c r="C48" s="42"/>
      <c r="D48" s="68"/>
      <c r="H48" s="52" t="s">
        <v>208</v>
      </c>
      <c r="I48" s="37"/>
      <c r="J48" s="37"/>
      <c r="K48" s="38">
        <v>1</v>
      </c>
      <c r="L48" s="38">
        <f t="shared" si="5"/>
        <v>0.5</v>
      </c>
      <c r="M48" s="38">
        <v>0</v>
      </c>
      <c r="N48" s="55"/>
      <c r="O48" s="57"/>
      <c r="P48" s="58"/>
      <c r="Q48" s="41"/>
      <c r="R48" s="41"/>
    </row>
    <row r="49" spans="3:18" hidden="1">
      <c r="C49" s="42"/>
      <c r="D49" s="68"/>
      <c r="H49" s="52" t="s">
        <v>209</v>
      </c>
      <c r="I49" s="37"/>
      <c r="J49" s="37"/>
      <c r="K49" s="38">
        <v>30</v>
      </c>
      <c r="L49" s="38">
        <f t="shared" si="5"/>
        <v>15</v>
      </c>
      <c r="M49" s="38">
        <v>0</v>
      </c>
      <c r="N49" s="55"/>
      <c r="O49" s="57"/>
      <c r="P49" s="58"/>
      <c r="Q49" s="41"/>
      <c r="R49" s="41"/>
    </row>
    <row r="50" spans="3:18" hidden="1">
      <c r="C50" s="42"/>
      <c r="D50" s="68"/>
      <c r="H50" s="52" t="s">
        <v>210</v>
      </c>
      <c r="I50" s="37"/>
      <c r="J50" s="37"/>
      <c r="K50" s="38">
        <v>30</v>
      </c>
      <c r="L50" s="38">
        <f t="shared" si="5"/>
        <v>15</v>
      </c>
      <c r="M50" s="38">
        <v>0</v>
      </c>
      <c r="N50" s="55"/>
      <c r="O50" s="57"/>
      <c r="P50" s="58"/>
      <c r="Q50" s="41"/>
      <c r="R50" s="41"/>
    </row>
    <row r="51" spans="3:18" hidden="1">
      <c r="C51" s="42"/>
      <c r="D51" s="68"/>
      <c r="H51" s="52" t="s">
        <v>211</v>
      </c>
      <c r="I51" s="37"/>
      <c r="J51" s="37"/>
      <c r="K51" s="38">
        <v>6</v>
      </c>
      <c r="L51" s="38">
        <f t="shared" si="5"/>
        <v>3</v>
      </c>
      <c r="M51" s="38">
        <v>0</v>
      </c>
      <c r="N51" s="55"/>
      <c r="O51" s="57"/>
      <c r="P51" s="58"/>
      <c r="Q51" s="41"/>
      <c r="R51" s="41"/>
    </row>
    <row r="52" spans="3:18" hidden="1">
      <c r="C52" s="42"/>
      <c r="D52" s="68"/>
      <c r="H52" s="52" t="s">
        <v>212</v>
      </c>
      <c r="I52" s="37"/>
      <c r="J52" s="37"/>
      <c r="K52" s="38">
        <v>1</v>
      </c>
      <c r="L52" s="38">
        <f t="shared" si="5"/>
        <v>0.5</v>
      </c>
      <c r="M52" s="38">
        <v>0</v>
      </c>
      <c r="N52" s="55"/>
      <c r="O52" s="57"/>
      <c r="P52" s="58"/>
      <c r="Q52" s="41"/>
      <c r="R52" s="41"/>
    </row>
    <row r="53" spans="3:18" hidden="1">
      <c r="C53" s="42"/>
      <c r="D53" s="68"/>
      <c r="H53" s="74" t="s">
        <v>274</v>
      </c>
      <c r="I53" s="37"/>
      <c r="J53" s="37"/>
      <c r="K53" s="38">
        <f>D9+(D9*D13)*D37</f>
        <v>9000</v>
      </c>
      <c r="L53" s="38">
        <f>K53*($D$15/100)*(1+$D$29)</f>
        <v>0</v>
      </c>
      <c r="M53" s="38">
        <f>K53*($D$16/100)*D48</f>
        <v>0</v>
      </c>
      <c r="N53" s="55"/>
      <c r="O53" s="57"/>
      <c r="P53" s="58"/>
      <c r="Q53" s="41"/>
      <c r="R53" s="41"/>
    </row>
    <row r="54" spans="3:18" hidden="1">
      <c r="C54" s="42"/>
      <c r="D54" s="68"/>
      <c r="H54" s="74" t="s">
        <v>276</v>
      </c>
      <c r="I54" s="37"/>
      <c r="J54" s="37"/>
      <c r="K54" s="38">
        <f>K53*D17*D37</f>
        <v>18000</v>
      </c>
      <c r="L54" s="38">
        <f>K54*($D$15/100)*(1+$D$29)</f>
        <v>0</v>
      </c>
      <c r="M54" s="38">
        <f>K54*($D$16/100)*D48</f>
        <v>0</v>
      </c>
      <c r="N54" s="55"/>
      <c r="O54" s="57"/>
      <c r="P54" s="58"/>
      <c r="Q54" s="41"/>
      <c r="R54" s="41"/>
    </row>
    <row r="55" spans="3:18" hidden="1">
      <c r="C55" s="42"/>
      <c r="D55" s="68"/>
      <c r="H55" s="52"/>
      <c r="I55" s="37"/>
      <c r="J55" s="37"/>
      <c r="K55" s="38">
        <f>SUM(K35:K54)</f>
        <v>153896.30000000002</v>
      </c>
      <c r="L55" s="38">
        <f>SUM(L35:L54)</f>
        <v>63448.150000000009</v>
      </c>
      <c r="M55" s="38">
        <f>SUM(M35:M54)</f>
        <v>123400</v>
      </c>
      <c r="N55" s="69">
        <f>SUM(K55:M55)</f>
        <v>340744.45</v>
      </c>
      <c r="O55" s="57"/>
      <c r="P55" s="58"/>
      <c r="Q55" s="41"/>
      <c r="R55" s="41"/>
    </row>
    <row r="56" spans="3:18" hidden="1">
      <c r="C56" s="42"/>
      <c r="D56" s="68"/>
      <c r="H56" s="56"/>
      <c r="I56" s="56"/>
      <c r="J56" s="56"/>
      <c r="K56" s="56"/>
      <c r="L56" s="56"/>
      <c r="M56" s="56"/>
      <c r="N56" s="41"/>
      <c r="O56" s="57"/>
      <c r="P56" s="58"/>
      <c r="Q56" s="41"/>
      <c r="R56" s="41"/>
    </row>
    <row r="57" spans="3:18" hidden="1">
      <c r="C57" s="42"/>
      <c r="D57" s="68"/>
      <c r="H57" s="64" t="s">
        <v>186</v>
      </c>
      <c r="I57" s="56"/>
      <c r="J57" s="56"/>
      <c r="K57" s="56"/>
      <c r="L57" s="56"/>
      <c r="M57" s="56"/>
      <c r="N57" s="41"/>
      <c r="O57" s="57"/>
      <c r="P57" s="58"/>
      <c r="Q57" s="41"/>
      <c r="R57" s="41"/>
    </row>
    <row r="58" spans="3:18" hidden="1">
      <c r="C58" s="42"/>
      <c r="D58" s="68"/>
      <c r="H58" s="55"/>
      <c r="I58" s="37"/>
      <c r="J58" s="37"/>
      <c r="K58" s="39" t="s">
        <v>183</v>
      </c>
      <c r="L58" s="39" t="s">
        <v>184</v>
      </c>
      <c r="M58" s="39" t="s">
        <v>185</v>
      </c>
      <c r="N58" s="55"/>
      <c r="O58" s="57"/>
      <c r="P58" s="58"/>
      <c r="Q58" s="41"/>
      <c r="R58" s="41"/>
    </row>
    <row r="59" spans="3:18" hidden="1">
      <c r="C59" s="42"/>
      <c r="D59" s="68"/>
      <c r="H59" s="37"/>
      <c r="I59" s="37"/>
      <c r="J59" s="37"/>
      <c r="K59" s="54">
        <f>$D$37*K55</f>
        <v>153896.30000000002</v>
      </c>
      <c r="L59" s="38">
        <f>$D$38*L55</f>
        <v>126896.30000000002</v>
      </c>
      <c r="M59" s="54">
        <f>$D$39*M55</f>
        <v>123400</v>
      </c>
      <c r="N59" s="67">
        <f>SUM(K59:M59)</f>
        <v>404192.60000000003</v>
      </c>
      <c r="O59" s="57"/>
      <c r="P59" s="58"/>
      <c r="Q59" s="41"/>
      <c r="R59" s="41"/>
    </row>
    <row r="60" spans="3:18">
      <c r="H60" s="56"/>
      <c r="I60" s="56"/>
      <c r="J60" s="56"/>
      <c r="K60" s="56"/>
      <c r="L60" s="56"/>
      <c r="M60" s="56"/>
      <c r="N60" s="41"/>
      <c r="O60" s="57"/>
      <c r="P60" s="58"/>
      <c r="Q60" s="41"/>
      <c r="R60" s="41"/>
    </row>
    <row r="61" spans="3:18">
      <c r="H61" s="56"/>
      <c r="I61" s="56"/>
      <c r="J61" s="56"/>
      <c r="K61" s="56"/>
      <c r="L61" s="56"/>
      <c r="M61" s="56"/>
      <c r="N61" s="41"/>
      <c r="O61" s="57"/>
      <c r="P61" s="58"/>
      <c r="Q61" s="41"/>
      <c r="R61" s="41"/>
    </row>
    <row r="62" spans="3:18">
      <c r="H62" s="56"/>
      <c r="I62" s="56"/>
      <c r="J62" s="56"/>
      <c r="K62" s="56"/>
      <c r="L62" s="56"/>
      <c r="M62" s="56"/>
      <c r="N62" s="41"/>
      <c r="O62" s="57"/>
      <c r="P62" s="58"/>
      <c r="Q62" s="41"/>
      <c r="R62" s="41"/>
    </row>
    <row r="63" spans="3:18">
      <c r="C63" s="27"/>
      <c r="D63" s="27"/>
      <c r="H63" s="56"/>
      <c r="I63" s="56"/>
      <c r="J63" s="56"/>
      <c r="K63" s="56"/>
      <c r="L63" s="56"/>
      <c r="M63" s="56"/>
      <c r="N63" s="41"/>
      <c r="O63" s="57"/>
      <c r="P63" s="58"/>
      <c r="Q63" s="41"/>
      <c r="R63" s="41"/>
    </row>
    <row r="64" spans="3:18">
      <c r="H64" s="56"/>
      <c r="I64" s="56"/>
      <c r="J64" s="56"/>
      <c r="K64" s="56"/>
      <c r="L64" s="56"/>
      <c r="M64" s="56"/>
      <c r="N64" s="41"/>
      <c r="O64" s="57"/>
      <c r="P64" s="58"/>
      <c r="Q64" s="41"/>
      <c r="R64" s="41"/>
    </row>
    <row r="65" spans="8:18">
      <c r="H65" s="56"/>
      <c r="I65" s="56"/>
      <c r="J65" s="56"/>
      <c r="K65" s="56"/>
      <c r="L65" s="56"/>
      <c r="M65" s="56"/>
      <c r="N65" s="41"/>
      <c r="O65" s="57"/>
      <c r="P65" s="58"/>
      <c r="Q65" s="41"/>
      <c r="R65" s="41"/>
    </row>
    <row r="66" spans="8:18">
      <c r="O66" s="57"/>
      <c r="P66" s="58"/>
      <c r="Q66" s="41"/>
      <c r="R66" s="41"/>
    </row>
    <row r="67" spans="8:18">
      <c r="O67" s="57"/>
      <c r="P67" s="58"/>
      <c r="Q67" s="41"/>
      <c r="R67" s="41"/>
    </row>
    <row r="141" spans="21:21">
      <c r="U141" t="e">
        <f>IF(#REF!=#REF!,0,1)</f>
        <v>#REF!</v>
      </c>
    </row>
  </sheetData>
  <mergeCells count="4">
    <mergeCell ref="Q7:R7"/>
    <mergeCell ref="Q8:R8"/>
    <mergeCell ref="Q9:R9"/>
    <mergeCell ref="Q25:V25"/>
  </mergeCells>
  <phoneticPr fontId="3"/>
  <dataValidations count="2">
    <dataValidation type="whole" imeMode="off" operator="greaterThanOrEqual" allowBlank="1" showInputMessage="1" showErrorMessage="1" sqref="D8:D10 D13:D14 D17:D18" xr:uid="{00000000-0002-0000-0000-000000000000}">
      <formula1>0</formula1>
    </dataValidation>
    <dataValidation type="decimal" imeMode="off" allowBlank="1" showInputMessage="1" showErrorMessage="1" error="0～100の間で指定してください。" sqref="D15:D16" xr:uid="{00000000-0002-0000-0000-000001000000}">
      <formula1>0</formula1>
      <formula2>100</formula2>
    </dataValidation>
  </dataValidations>
  <pageMargins left="0.78740157480314965" right="0.19685039370078741" top="0.98425196850393704" bottom="0.98425196850393704" header="0.51181102362204722" footer="0.51181102362204722"/>
  <pageSetup paperSize="8"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I256"/>
  <sheetViews>
    <sheetView showGridLines="0" zoomScaleNormal="100" workbookViewId="0"/>
  </sheetViews>
  <sheetFormatPr defaultColWidth="8.875" defaultRowHeight="13.5"/>
  <cols>
    <col min="1" max="1" width="2.125" style="75" customWidth="1"/>
    <col min="2" max="2" width="3.125" style="75" customWidth="1"/>
    <col min="3" max="3" width="35.5" style="75" customWidth="1"/>
    <col min="4" max="4" width="10.875" style="75" customWidth="1"/>
    <col min="5" max="5" width="5.75" style="75" customWidth="1"/>
    <col min="6" max="6" width="2" style="75" customWidth="1"/>
    <col min="7" max="7" width="2.75" style="75" customWidth="1"/>
    <col min="8" max="8" width="12.75" style="85" customWidth="1"/>
    <col min="9" max="10" width="8.5" style="85" customWidth="1"/>
    <col min="11" max="12" width="15.875" style="85" bestFit="1" customWidth="1"/>
    <col min="13" max="13" width="16.125" style="85" bestFit="1" customWidth="1"/>
    <col min="14" max="14" width="21.875" style="75" bestFit="1" customWidth="1"/>
    <col min="15" max="15" width="9.5" style="135" bestFit="1" customWidth="1"/>
    <col min="16" max="16" width="11.125" style="136" customWidth="1"/>
    <col min="17" max="17" width="10.125" style="81" customWidth="1"/>
    <col min="18" max="18" width="32.75" style="75" customWidth="1"/>
    <col min="19" max="22" width="8.875" style="75" customWidth="1"/>
    <col min="23" max="16384" width="8.875" style="75"/>
  </cols>
  <sheetData>
    <row r="1" spans="2:21" ht="14.25" thickBot="1">
      <c r="H1" s="76" t="s">
        <v>255</v>
      </c>
      <c r="I1" s="77">
        <f>人事給与共通!I1</f>
        <v>8192</v>
      </c>
      <c r="J1" s="78" t="s">
        <v>57</v>
      </c>
      <c r="K1" s="78"/>
      <c r="L1" s="75"/>
      <c r="M1" s="75"/>
      <c r="O1" s="79"/>
      <c r="P1" s="80"/>
    </row>
    <row r="2" spans="2:21" ht="35.25">
      <c r="B2" s="82"/>
      <c r="C2" s="335" t="s">
        <v>543</v>
      </c>
      <c r="D2" s="335"/>
      <c r="E2" s="83"/>
      <c r="F2" s="84"/>
      <c r="H2" s="76"/>
      <c r="J2" s="78"/>
      <c r="K2" s="78"/>
      <c r="L2" s="75"/>
      <c r="M2" s="75"/>
      <c r="O2" s="79"/>
      <c r="P2" s="80"/>
    </row>
    <row r="3" spans="2:21" ht="20.100000000000001" customHeight="1" thickBot="1">
      <c r="B3" s="86"/>
      <c r="C3" s="308" t="s">
        <v>602</v>
      </c>
      <c r="D3" s="88"/>
      <c r="E3" s="87"/>
      <c r="F3" s="89"/>
      <c r="H3" s="90"/>
      <c r="I3" s="75"/>
      <c r="J3" s="75"/>
      <c r="K3" s="91"/>
      <c r="L3" s="92"/>
      <c r="M3" s="75"/>
      <c r="O3" s="79"/>
      <c r="P3" s="93" t="s">
        <v>256</v>
      </c>
    </row>
    <row r="4" spans="2:21" ht="18.75" customHeight="1" thickBot="1">
      <c r="B4" s="94"/>
      <c r="C4" s="95" t="s">
        <v>158</v>
      </c>
      <c r="D4" s="170">
        <f>ROUNDUP($P$74/1000,2)*1.1</f>
        <v>23.496000000000006</v>
      </c>
      <c r="E4" s="96" t="s">
        <v>67</v>
      </c>
      <c r="F4" s="97"/>
      <c r="G4" s="98"/>
      <c r="H4" s="171" t="s">
        <v>58</v>
      </c>
      <c r="I4" s="171" t="s">
        <v>59</v>
      </c>
      <c r="J4" s="171" t="s">
        <v>60</v>
      </c>
      <c r="K4" s="171" t="s">
        <v>61</v>
      </c>
      <c r="L4" s="171" t="s">
        <v>62</v>
      </c>
      <c r="M4" s="171" t="s">
        <v>167</v>
      </c>
      <c r="N4" s="171" t="s">
        <v>114</v>
      </c>
      <c r="O4" s="171" t="s">
        <v>146</v>
      </c>
      <c r="P4" s="172" t="s">
        <v>257</v>
      </c>
      <c r="Q4" s="336" t="s">
        <v>538</v>
      </c>
      <c r="R4" s="337"/>
      <c r="U4" s="85"/>
    </row>
    <row r="5" spans="2:21" ht="16.5" customHeight="1">
      <c r="B5" s="86"/>
      <c r="C5" s="99" t="s">
        <v>149</v>
      </c>
      <c r="D5" s="100">
        <v>3</v>
      </c>
      <c r="E5" s="101" t="s">
        <v>122</v>
      </c>
      <c r="F5" s="89"/>
      <c r="G5" s="98"/>
      <c r="H5" s="102" t="s">
        <v>221</v>
      </c>
      <c r="I5" s="103">
        <v>10</v>
      </c>
      <c r="J5" s="103">
        <v>1</v>
      </c>
      <c r="K5" s="103">
        <v>234</v>
      </c>
      <c r="L5" s="103">
        <v>0</v>
      </c>
      <c r="M5" s="104">
        <f>30+1285</f>
        <v>1315</v>
      </c>
      <c r="N5" s="105">
        <f>3+1*K5+3*L5+M5</f>
        <v>1552</v>
      </c>
      <c r="O5" s="106">
        <f t="shared" ref="O5:O10" si="0">L89</f>
        <v>765000</v>
      </c>
      <c r="P5" s="107">
        <f xml:space="preserve"> $I$1 * CEILING( 1* $O$5/ FLOOR(1* ( CEILING(($I$1 -20 - 4- 48- ($J$5 - 1) * 24 - 14) * (1 - $I$5/100), 1) - 4) / (MAX(1 * 3 + 4 + 2, ( 3 *1+ 1 * $K$5+ 3 * $L$5+ $M$5 )  )  + 2),1 ), 1 )/1024/1024</f>
        <v>1494.140625</v>
      </c>
      <c r="Q5" s="331" t="s">
        <v>142</v>
      </c>
      <c r="R5" s="332"/>
      <c r="U5" s="85"/>
    </row>
    <row r="6" spans="2:21" ht="13.5" customHeight="1">
      <c r="B6" s="86"/>
      <c r="C6" s="108"/>
      <c r="D6" s="109"/>
      <c r="E6" s="87"/>
      <c r="F6" s="89"/>
      <c r="G6" s="98"/>
      <c r="H6" s="102" t="s">
        <v>222</v>
      </c>
      <c r="I6" s="103">
        <v>10</v>
      </c>
      <c r="J6" s="103">
        <v>1</v>
      </c>
      <c r="K6" s="103">
        <v>46</v>
      </c>
      <c r="L6" s="103">
        <v>0</v>
      </c>
      <c r="M6" s="103">
        <f>30+280</f>
        <v>310</v>
      </c>
      <c r="N6" s="105">
        <f>3+1*K6+3*L6+M6</f>
        <v>359</v>
      </c>
      <c r="O6" s="106">
        <f t="shared" si="0"/>
        <v>4698000</v>
      </c>
      <c r="P6" s="107">
        <f xml:space="preserve"> $I$1 * CEILING( 1* $O$6/ FLOOR(1* ( CEILING(($I$1 -20 - 4- 48- ($J$6 - 1) * 24 - 14) * (1 - $I$6/100), 1) - 4) / (MAX(1 * 3 + 4 + 2, ( 3 *1+ 1 * $K$6+ 3 * $L$6+ $M$6 )  )  + 2),1 ), 1 )/1024/1024</f>
        <v>1835.15625</v>
      </c>
      <c r="Q6" s="331" t="s">
        <v>154</v>
      </c>
      <c r="R6" s="332"/>
      <c r="U6" s="85"/>
    </row>
    <row r="7" spans="2:21">
      <c r="B7" s="86"/>
      <c r="C7" s="253" t="s">
        <v>119</v>
      </c>
      <c r="D7" s="254">
        <v>3000</v>
      </c>
      <c r="E7" s="101" t="s">
        <v>125</v>
      </c>
      <c r="F7" s="112"/>
      <c r="G7" s="98"/>
      <c r="H7" s="102" t="s">
        <v>223</v>
      </c>
      <c r="I7" s="103">
        <v>10</v>
      </c>
      <c r="J7" s="103">
        <v>1</v>
      </c>
      <c r="K7" s="103">
        <v>12</v>
      </c>
      <c r="L7" s="103">
        <v>0</v>
      </c>
      <c r="M7" s="103">
        <f>30+58</f>
        <v>88</v>
      </c>
      <c r="N7" s="105">
        <f>3+1*K7+3*L7+M7</f>
        <v>103</v>
      </c>
      <c r="O7" s="106">
        <f t="shared" si="0"/>
        <v>600</v>
      </c>
      <c r="P7" s="107">
        <f xml:space="preserve"> $I$1 * CEILING( 1* $O$7/ FLOOR(1* ( CEILING(($I$1 -20 - 4- 48- ($J$7 - 1) * 24 - 14) * (1 - $I$7/100), 1) - 4) / (MAX(1 * 3 + 4 + 2, ( 3 *1+ 1 * $K$7+ 3 * $L$7+ $M$7 )  )  + 2),1 ), 1 )/1024/1024</f>
        <v>7.03125E-2</v>
      </c>
      <c r="Q7" s="331"/>
      <c r="R7" s="332"/>
      <c r="U7" s="85"/>
    </row>
    <row r="8" spans="2:21" ht="24">
      <c r="B8" s="86"/>
      <c r="C8" s="255" t="s">
        <v>159</v>
      </c>
      <c r="D8" s="256">
        <v>0</v>
      </c>
      <c r="E8" s="101" t="s">
        <v>160</v>
      </c>
      <c r="F8" s="112"/>
      <c r="G8" s="98"/>
      <c r="H8" s="102" t="s">
        <v>224</v>
      </c>
      <c r="I8" s="103">
        <v>10</v>
      </c>
      <c r="J8" s="103">
        <v>1</v>
      </c>
      <c r="K8" s="103">
        <v>29</v>
      </c>
      <c r="L8" s="103">
        <v>0</v>
      </c>
      <c r="M8" s="103">
        <f>30+208</f>
        <v>238</v>
      </c>
      <c r="N8" s="105">
        <f t="shared" ref="N8:N29" si="1">3+1*K8+3*L8+M8</f>
        <v>270</v>
      </c>
      <c r="O8" s="106">
        <f t="shared" si="0"/>
        <v>3000</v>
      </c>
      <c r="P8" s="107">
        <f xml:space="preserve"> $I$1 * CEILING( 1* $O$8/ FLOOR(1* ( CEILING(($I$1 -20 - 4- 48- ($J$8 - 1) * 24 - 14) * (1 - $I$8/100), 1) - 4) / (MAX(1 * 3 + 4 + 2, ( 3 *1+ 1 * $K$8+ 3 * $L$8+ $M$8 )  )  + 2),1 ), 1 )/1024/1024</f>
        <v>0.90625</v>
      </c>
      <c r="Q8" s="331"/>
      <c r="R8" s="332"/>
      <c r="U8" s="85"/>
    </row>
    <row r="9" spans="2:21" ht="13.5" customHeight="1">
      <c r="B9" s="86"/>
      <c r="C9" s="257" t="s">
        <v>136</v>
      </c>
      <c r="D9" s="254">
        <v>41</v>
      </c>
      <c r="E9" s="101" t="s">
        <v>126</v>
      </c>
      <c r="F9" s="112"/>
      <c r="G9" s="98"/>
      <c r="H9" s="102" t="s">
        <v>225</v>
      </c>
      <c r="I9" s="103">
        <v>10</v>
      </c>
      <c r="J9" s="103">
        <v>1</v>
      </c>
      <c r="K9" s="103">
        <v>60</v>
      </c>
      <c r="L9" s="103">
        <v>0</v>
      </c>
      <c r="M9" s="103">
        <f>30+384</f>
        <v>414</v>
      </c>
      <c r="N9" s="105">
        <f t="shared" si="1"/>
        <v>477</v>
      </c>
      <c r="O9" s="106">
        <f t="shared" si="0"/>
        <v>36900</v>
      </c>
      <c r="P9" s="107">
        <f xml:space="preserve"> $I$1 * CEILING( 1* $O$9/ FLOOR(1* ( CEILING(($I$1 -20 - 4- 48- ($J$9 - 1) * 24 - 14) * (1 - $I$9/100), 1) - 4) / (MAX(1 * 3 + 4 + 2, ( 3 *1+ 1 * $K$9+ 3 * $L$9+ $M$9 )  )  + 2),1 ), 1 )/1024/1024</f>
        <v>19.21875</v>
      </c>
      <c r="Q9" s="331" t="s">
        <v>145</v>
      </c>
      <c r="R9" s="332"/>
      <c r="U9" s="85"/>
    </row>
    <row r="10" spans="2:21">
      <c r="B10" s="86"/>
      <c r="C10" s="257" t="s">
        <v>161</v>
      </c>
      <c r="D10" s="254">
        <v>10</v>
      </c>
      <c r="E10" s="101"/>
      <c r="F10" s="112"/>
      <c r="G10" s="98"/>
      <c r="H10" s="102" t="s">
        <v>226</v>
      </c>
      <c r="I10" s="103">
        <v>10</v>
      </c>
      <c r="J10" s="103">
        <v>1</v>
      </c>
      <c r="K10" s="103">
        <v>14</v>
      </c>
      <c r="L10" s="103">
        <v>0</v>
      </c>
      <c r="M10" s="103">
        <f>30+131</f>
        <v>161</v>
      </c>
      <c r="N10" s="105">
        <f t="shared" si="1"/>
        <v>178</v>
      </c>
      <c r="O10" s="106">
        <f t="shared" si="0"/>
        <v>5000</v>
      </c>
      <c r="P10" s="107">
        <f xml:space="preserve"> $I$1 * CEILING( 1* $O$10/ FLOOR(1* ( CEILING(($I$1 -20 - 4- 48- ($J$10 - 1) * 24 - 14) * (1 - $I$10/100), 1) - 4) / (MAX(1 * 3 + 4 + 2, ( 3 *1+ 1 * $K$10+ 3 * $L$10+ $M$10 )  )  + 2),1 ), 1 )/1024/1024</f>
        <v>0.9765625</v>
      </c>
      <c r="Q10" s="331"/>
      <c r="R10" s="332"/>
      <c r="U10" s="85"/>
    </row>
    <row r="11" spans="2:21">
      <c r="B11" s="86"/>
      <c r="C11" s="257" t="s">
        <v>162</v>
      </c>
      <c r="D11" s="254">
        <v>2</v>
      </c>
      <c r="E11" s="101"/>
      <c r="F11" s="112"/>
      <c r="G11" s="116"/>
      <c r="H11" s="117" t="s">
        <v>227</v>
      </c>
      <c r="I11" s="117">
        <v>10</v>
      </c>
      <c r="J11" s="117">
        <v>1</v>
      </c>
      <c r="K11" s="117">
        <v>12</v>
      </c>
      <c r="L11" s="117">
        <v>0</v>
      </c>
      <c r="M11" s="117">
        <f>30+78</f>
        <v>108</v>
      </c>
      <c r="N11" s="118">
        <f>3+1*K11+3*L11+M11</f>
        <v>123</v>
      </c>
      <c r="O11" s="106">
        <f>L91</f>
        <v>600</v>
      </c>
      <c r="P11" s="107">
        <f xml:space="preserve"> $I$1 * CEILING( 1* $O$11/ FLOOR(1* ( CEILING(($I$1 -20 - 4- 48- ($J$11 - 1) * 24 - 14) * (1 - $I$11/100), 1) - 4) / (MAX(1 * 3 + 4 + 2, ( 3 *1+ 1 * $K$11+ 3 * $L$11+ $M$11 )  )  + 2),1 ), 1 )/1024/1024</f>
        <v>8.59375E-2</v>
      </c>
      <c r="Q11" s="338"/>
      <c r="R11" s="339"/>
      <c r="U11" s="85"/>
    </row>
    <row r="12" spans="2:21">
      <c r="B12" s="86"/>
      <c r="C12" s="257" t="s">
        <v>163</v>
      </c>
      <c r="D12" s="254">
        <v>1</v>
      </c>
      <c r="E12" s="101"/>
      <c r="F12" s="112"/>
      <c r="G12" s="98"/>
      <c r="H12" s="102" t="s">
        <v>228</v>
      </c>
      <c r="I12" s="103">
        <v>10</v>
      </c>
      <c r="J12" s="103">
        <v>1</v>
      </c>
      <c r="K12" s="103">
        <v>81</v>
      </c>
      <c r="L12" s="103">
        <v>0</v>
      </c>
      <c r="M12" s="117">
        <f>30+794</f>
        <v>824</v>
      </c>
      <c r="N12" s="105">
        <f t="shared" si="1"/>
        <v>908</v>
      </c>
      <c r="O12" s="106">
        <f t="shared" ref="O12:O31" si="2">L96</f>
        <v>20000</v>
      </c>
      <c r="P12" s="107">
        <f xml:space="preserve"> $I$1 * CEILING( 1* $O$12/ FLOOR(1* ( CEILING(($I$1 -20 - 4- 48- ($J$12 - 1) * 24 - 14) * (1 - $I$12/100), 1) - 4) / (MAX(1 * 3 + 4 + 2, ( 3 *1+ 1 * $K$12+ 3 * $L$12+ $M$12 )  )  + 2),1 ), 1 )/1024/1024</f>
        <v>19.53125</v>
      </c>
      <c r="Q12" s="331" t="s">
        <v>121</v>
      </c>
      <c r="R12" s="332"/>
      <c r="U12" s="85"/>
    </row>
    <row r="13" spans="2:21" ht="13.5" customHeight="1">
      <c r="B13" s="86"/>
      <c r="C13" s="257" t="s">
        <v>164</v>
      </c>
      <c r="D13" s="254">
        <v>10</v>
      </c>
      <c r="E13" s="101"/>
      <c r="F13" s="112"/>
      <c r="G13" s="98"/>
      <c r="H13" s="102" t="s">
        <v>229</v>
      </c>
      <c r="I13" s="103">
        <v>10</v>
      </c>
      <c r="J13" s="103">
        <v>1</v>
      </c>
      <c r="K13" s="103">
        <v>110</v>
      </c>
      <c r="L13" s="103">
        <v>0</v>
      </c>
      <c r="M13" s="103">
        <f>30+791</f>
        <v>821</v>
      </c>
      <c r="N13" s="105">
        <f t="shared" si="1"/>
        <v>934</v>
      </c>
      <c r="O13" s="106">
        <f t="shared" si="2"/>
        <v>3000</v>
      </c>
      <c r="P13" s="107">
        <f xml:space="preserve"> $I$1 * CEILING( 1* $O$13/ FLOOR(1* ( CEILING(($I$1 -20 - 4- 48- ($J$13 - 1) * 24 - 14) * (1 - $I$13/100), 1) - 4) / (MAX(1 * 3 + 4 + 2, ( 3 *1+ 1 * $K$13+ 3 * $L$13+ $M$13 )  )  + 2),1 ), 1 )/1024/1024</f>
        <v>3.3515625</v>
      </c>
      <c r="Q13" s="331"/>
      <c r="R13" s="332"/>
      <c r="U13" s="85"/>
    </row>
    <row r="14" spans="2:21" ht="13.5" customHeight="1">
      <c r="B14" s="86"/>
      <c r="C14" s="257" t="s">
        <v>120</v>
      </c>
      <c r="D14" s="254">
        <v>5</v>
      </c>
      <c r="E14" s="101"/>
      <c r="F14" s="112"/>
      <c r="G14" s="98"/>
      <c r="H14" s="102" t="s">
        <v>85</v>
      </c>
      <c r="I14" s="103">
        <v>10</v>
      </c>
      <c r="J14" s="103">
        <v>1</v>
      </c>
      <c r="K14" s="103">
        <v>241</v>
      </c>
      <c r="L14" s="103">
        <v>0</v>
      </c>
      <c r="M14" s="117">
        <f>30+2318</f>
        <v>2348</v>
      </c>
      <c r="N14" s="105">
        <f t="shared" si="1"/>
        <v>2592</v>
      </c>
      <c r="O14" s="106">
        <f t="shared" si="2"/>
        <v>477000</v>
      </c>
      <c r="P14" s="107">
        <f xml:space="preserve"> $I$1 * CEILING( 2* $O$14/ FLOOR(2* ( CEILING(($I$1 -20 - 4- 48- ($J$14 - 1) * 24 - 14) * (1 - $I$14/100), 1) - 4) / (MAX(1 * 3 + 4 + 2, ( 3 *1+ 1 * $K$14+ 3 * $L$14+ $M$14 )  )  + 2),1 ), 1 )/1024/1024</f>
        <v>1490.625</v>
      </c>
      <c r="Q14" s="331" t="s">
        <v>123</v>
      </c>
      <c r="R14" s="332"/>
      <c r="U14" s="85"/>
    </row>
    <row r="15" spans="2:21" ht="13.5" customHeight="1">
      <c r="B15" s="86"/>
      <c r="C15" s="257" t="s">
        <v>147</v>
      </c>
      <c r="D15" s="258">
        <v>2</v>
      </c>
      <c r="E15" s="101"/>
      <c r="F15" s="112"/>
      <c r="G15" s="98"/>
      <c r="H15" s="102" t="s">
        <v>230</v>
      </c>
      <c r="I15" s="103">
        <v>10</v>
      </c>
      <c r="J15" s="103">
        <v>1</v>
      </c>
      <c r="K15" s="103">
        <v>38</v>
      </c>
      <c r="L15" s="103">
        <v>0</v>
      </c>
      <c r="M15" s="103">
        <f>30+157</f>
        <v>187</v>
      </c>
      <c r="N15" s="105">
        <f t="shared" si="1"/>
        <v>228</v>
      </c>
      <c r="O15" s="106">
        <f t="shared" si="2"/>
        <v>1500</v>
      </c>
      <c r="P15" s="107">
        <f xml:space="preserve"> $I$1 * CEILING( 1* $O$15/ FLOOR(1* ( CEILING(($I$1 -20 - 4- 48- ($J$15 - 1) * 24 - 14) * (1 - $I$15/100), 1) - 4) / (MAX(1 * 3 + 4 + 2, ( 3 *1+ 1 * $K$15+ 3 * $L$15+ $M$15 )  )  + 2),1 ), 1 )/1024/1024</f>
        <v>0.3828125</v>
      </c>
      <c r="Q15" s="331" t="s">
        <v>131</v>
      </c>
      <c r="R15" s="332"/>
      <c r="U15" s="85"/>
    </row>
    <row r="16" spans="2:21" ht="13.5" customHeight="1">
      <c r="B16" s="86"/>
      <c r="C16" s="257" t="s">
        <v>148</v>
      </c>
      <c r="D16" s="254">
        <v>2</v>
      </c>
      <c r="E16" s="101" t="s">
        <v>137</v>
      </c>
      <c r="F16" s="112"/>
      <c r="G16" s="98"/>
      <c r="H16" s="102" t="s">
        <v>231</v>
      </c>
      <c r="I16" s="103">
        <v>10</v>
      </c>
      <c r="J16" s="103">
        <v>1</v>
      </c>
      <c r="K16" s="103">
        <v>36</v>
      </c>
      <c r="L16" s="103">
        <v>0</v>
      </c>
      <c r="M16" s="103">
        <f>30+223</f>
        <v>253</v>
      </c>
      <c r="N16" s="105">
        <f t="shared" si="1"/>
        <v>292</v>
      </c>
      <c r="O16" s="106">
        <f t="shared" si="2"/>
        <v>1080000</v>
      </c>
      <c r="P16" s="107">
        <f xml:space="preserve"> $I$1 * CEILING( 1* $O$16/ FLOOR(1* ( CEILING(($I$1 -20 - 4- 48- ($J$16 - 1) * 24 - 14) * (1 - $I$16/100), 1) - 4) / (MAX(1 * 3 + 4 + 2, ( 3 *1+ 1 * $K$16+ 3 * $L$16+ $M$16 )  )  + 2),1 ), 1 )/1024/1024</f>
        <v>351.5625</v>
      </c>
      <c r="Q16" s="331" t="s">
        <v>128</v>
      </c>
      <c r="R16" s="332"/>
      <c r="U16" s="85"/>
    </row>
    <row r="17" spans="2:21" ht="13.5" customHeight="1">
      <c r="B17" s="86"/>
      <c r="C17" s="259" t="s">
        <v>165</v>
      </c>
      <c r="D17" s="258">
        <v>1</v>
      </c>
      <c r="E17" s="101"/>
      <c r="F17" s="89"/>
      <c r="G17" s="98"/>
      <c r="H17" s="102" t="s">
        <v>87</v>
      </c>
      <c r="I17" s="103">
        <v>10</v>
      </c>
      <c r="J17" s="103">
        <v>1</v>
      </c>
      <c r="K17" s="103">
        <v>15</v>
      </c>
      <c r="L17" s="103">
        <v>1</v>
      </c>
      <c r="M17" s="103">
        <f>30+349</f>
        <v>379</v>
      </c>
      <c r="N17" s="105">
        <f t="shared" si="1"/>
        <v>400</v>
      </c>
      <c r="O17" s="106">
        <f t="shared" si="2"/>
        <v>30000</v>
      </c>
      <c r="P17" s="107">
        <f xml:space="preserve"> $I$1 * CEILING( 1* $O$17/ FLOOR(1* ( CEILING(($I$1 -20 - 4- 48- ($J$17 - 1) * 24 - 14) * (1 - $I$17/100), 1) - 4) / (MAX(1 * 3 + 4 + 2, ( 3 *1+ 1 * $K$17+ 3 * $L$17+ $M$17 )  )  + 2),1 ), 1 )/1024/1024</f>
        <v>13.0234375</v>
      </c>
      <c r="Q17" s="331" t="s">
        <v>124</v>
      </c>
      <c r="R17" s="332"/>
      <c r="U17" s="85"/>
    </row>
    <row r="18" spans="2:21" ht="13.5" customHeight="1">
      <c r="B18" s="86"/>
      <c r="C18" s="257" t="s">
        <v>129</v>
      </c>
      <c r="D18" s="258">
        <v>30</v>
      </c>
      <c r="E18" s="101"/>
      <c r="F18" s="89"/>
      <c r="G18" s="98"/>
      <c r="H18" s="102" t="s">
        <v>232</v>
      </c>
      <c r="I18" s="103">
        <v>10</v>
      </c>
      <c r="J18" s="103">
        <v>1</v>
      </c>
      <c r="K18" s="103">
        <v>13</v>
      </c>
      <c r="L18" s="103">
        <v>0</v>
      </c>
      <c r="M18" s="103">
        <f>30+78</f>
        <v>108</v>
      </c>
      <c r="N18" s="105">
        <f t="shared" si="1"/>
        <v>124</v>
      </c>
      <c r="O18" s="106">
        <f t="shared" si="2"/>
        <v>184500</v>
      </c>
      <c r="P18" s="107">
        <f xml:space="preserve"> $I$1 * CEILING( 1* $O$18/ FLOOR(1* ( CEILING(($I$1 -20 - 4- 48- ($J$18 - 1) * 24 - 14) * (1 - $I$18/100), 1) - 4) / (MAX(1 * 3 + 4 + 2, ( 3 *1+ 1 * $K$18+ 3 * $L$18+ $M$18 )  )  + 2),1 ), 1 )/1024/1024</f>
        <v>25.2890625</v>
      </c>
      <c r="Q18" s="331" t="s">
        <v>134</v>
      </c>
      <c r="R18" s="332"/>
      <c r="U18" s="85"/>
    </row>
    <row r="19" spans="2:21" ht="40.5" customHeight="1">
      <c r="B19" s="86"/>
      <c r="C19" s="257" t="s">
        <v>130</v>
      </c>
      <c r="D19" s="258">
        <v>1</v>
      </c>
      <c r="E19" s="101"/>
      <c r="F19" s="89"/>
      <c r="G19" s="98"/>
      <c r="H19" s="102" t="s">
        <v>233</v>
      </c>
      <c r="I19" s="103">
        <v>10</v>
      </c>
      <c r="J19" s="103">
        <v>1</v>
      </c>
      <c r="K19" s="103">
        <v>40</v>
      </c>
      <c r="L19" s="103">
        <v>0</v>
      </c>
      <c r="M19" s="103">
        <f>30+349</f>
        <v>379</v>
      </c>
      <c r="N19" s="105">
        <f t="shared" si="1"/>
        <v>422</v>
      </c>
      <c r="O19" s="106">
        <f t="shared" si="2"/>
        <v>680</v>
      </c>
      <c r="P19" s="107">
        <f xml:space="preserve"> $I$1 * CEILING( 1* $O$19/ FLOOR(1* ( CEILING(($I$1 -20 - 4- 48- ($J$19 - 1) * 24 - 14) * (1 - $I$19/100), 1) - 4) / (MAX(1 * 3 + 4 + 2, ( 3 *1+ 1 * $K$19+ 3 * $L$19+ $M$19 )  )  + 2),1 ), 1 )/1024/1024</f>
        <v>0.3125</v>
      </c>
      <c r="Q19" s="331" t="s">
        <v>133</v>
      </c>
      <c r="R19" s="332"/>
      <c r="U19" s="85"/>
    </row>
    <row r="20" spans="2:21">
      <c r="B20" s="86"/>
      <c r="C20" s="257" t="s">
        <v>132</v>
      </c>
      <c r="D20" s="258">
        <v>50</v>
      </c>
      <c r="E20" s="101"/>
      <c r="F20" s="89"/>
      <c r="G20" s="98"/>
      <c r="H20" s="102" t="s">
        <v>234</v>
      </c>
      <c r="I20" s="103">
        <v>10</v>
      </c>
      <c r="J20" s="103">
        <v>1</v>
      </c>
      <c r="K20" s="103">
        <v>44</v>
      </c>
      <c r="L20" s="103">
        <v>0</v>
      </c>
      <c r="M20" s="103">
        <f>30+500</f>
        <v>530</v>
      </c>
      <c r="N20" s="105">
        <f t="shared" si="1"/>
        <v>577</v>
      </c>
      <c r="O20" s="106">
        <f t="shared" si="2"/>
        <v>9000</v>
      </c>
      <c r="P20" s="107">
        <f xml:space="preserve"> $I$1 * CEILING( 1* $O$20/ FLOOR(1* ( CEILING(($I$1 -20 - 4- 48- ($J$20 - 1) * 24 - 14) * (1 - $I$20/100), 1) - 4) / (MAX(1 * 3 + 4 + 2, ( 3 *1+ 1 * $K$20+ 3 * $L$20+ $M$20 )  )  + 2),1 ), 1 )/1024/1024</f>
        <v>5.859375</v>
      </c>
      <c r="Q20" s="331"/>
      <c r="R20" s="332"/>
      <c r="U20" s="85"/>
    </row>
    <row r="21" spans="2:21">
      <c r="B21" s="120"/>
      <c r="C21" s="257" t="s">
        <v>138</v>
      </c>
      <c r="D21" s="258">
        <v>2</v>
      </c>
      <c r="E21" s="121"/>
      <c r="F21" s="122"/>
      <c r="G21" s="98"/>
      <c r="H21" s="102" t="s">
        <v>235</v>
      </c>
      <c r="I21" s="103">
        <v>10</v>
      </c>
      <c r="J21" s="103">
        <v>1</v>
      </c>
      <c r="K21" s="103">
        <v>70</v>
      </c>
      <c r="L21" s="103">
        <v>0</v>
      </c>
      <c r="M21" s="103">
        <f>30+379</f>
        <v>409</v>
      </c>
      <c r="N21" s="105">
        <f t="shared" si="1"/>
        <v>482</v>
      </c>
      <c r="O21" s="106">
        <f t="shared" si="2"/>
        <v>3000</v>
      </c>
      <c r="P21" s="107">
        <f xml:space="preserve"> $I$1 * CEILING( 1* $O$21/ FLOOR(1* ( CEILING(($I$1 -20 - 4- 48- ($J$21 - 1) * 24 - 14) * (1 - $I$21/100), 1) - 4) / (MAX(1 * 3 + 4 + 2, ( 3 *1+ 1 * $K$21+ 3 * $L$21+ $M$21 )  )  + 2),1 ), 1 )/1024/1024</f>
        <v>1.5625</v>
      </c>
      <c r="Q21" s="123"/>
      <c r="R21" s="124"/>
      <c r="U21" s="85"/>
    </row>
    <row r="22" spans="2:21">
      <c r="B22" s="120"/>
      <c r="C22" s="257" t="s">
        <v>139</v>
      </c>
      <c r="D22" s="258">
        <v>12</v>
      </c>
      <c r="E22" s="125"/>
      <c r="F22" s="122"/>
      <c r="G22" s="98"/>
      <c r="H22" s="102" t="s">
        <v>236</v>
      </c>
      <c r="I22" s="103">
        <v>10</v>
      </c>
      <c r="J22" s="103">
        <v>1</v>
      </c>
      <c r="K22" s="103">
        <v>209</v>
      </c>
      <c r="L22" s="103">
        <v>0</v>
      </c>
      <c r="M22" s="117">
        <f>30+1161</f>
        <v>1191</v>
      </c>
      <c r="N22" s="105">
        <f t="shared" si="1"/>
        <v>1403</v>
      </c>
      <c r="O22" s="106">
        <f t="shared" si="2"/>
        <v>54000</v>
      </c>
      <c r="P22" s="107">
        <f xml:space="preserve"> $I$1 * CEILING( 1* $O$22/ FLOOR(1* ( CEILING(($I$1 -20 - 4- 48- ($J$22 - 1) * 24 - 14) * (1 - $I$22/100), 1) - 4) / (MAX(1 * 3 + 4 + 2, ( 3 *1+ 1 * $K$22+ 3 * $L$22+ $M$22 )  )  + 2),1 ), 1 )/1024/1024</f>
        <v>84.375</v>
      </c>
      <c r="Q22" s="123"/>
      <c r="R22" s="124"/>
      <c r="U22" s="85"/>
    </row>
    <row r="23" spans="2:21" ht="13.5" customHeight="1">
      <c r="B23" s="120"/>
      <c r="C23" s="259" t="s">
        <v>140</v>
      </c>
      <c r="D23" s="260">
        <v>0</v>
      </c>
      <c r="E23" s="101" t="s">
        <v>166</v>
      </c>
      <c r="F23" s="122"/>
      <c r="G23" s="98"/>
      <c r="H23" s="102" t="s">
        <v>237</v>
      </c>
      <c r="I23" s="103">
        <v>10</v>
      </c>
      <c r="J23" s="103">
        <v>1</v>
      </c>
      <c r="K23" s="103">
        <v>43</v>
      </c>
      <c r="L23" s="103">
        <v>0</v>
      </c>
      <c r="M23" s="103">
        <f>30+249</f>
        <v>279</v>
      </c>
      <c r="N23" s="105">
        <f t="shared" si="1"/>
        <v>325</v>
      </c>
      <c r="O23" s="106">
        <f t="shared" si="2"/>
        <v>1771200</v>
      </c>
      <c r="P23" s="107">
        <f xml:space="preserve"> $I$1 * CEILING( 1* $O$23/ FLOOR(1* ( CEILING(($I$1 -20 - 4- 48- ($J$23 - 1) * 24 - 14) * (1 - $I$23/100), 1) - 4) / (MAX(1 * 3 + 4 + 2, ( 3 *1+ 1 * $K$23+ 3 * $L$23+ $M$23 )  )  + 2),1 ), 1 )/1024/1024</f>
        <v>628.984375</v>
      </c>
      <c r="Q23" s="123"/>
      <c r="R23" s="124"/>
      <c r="U23" s="85"/>
    </row>
    <row r="24" spans="2:21" ht="13.5" customHeight="1">
      <c r="B24" s="120"/>
      <c r="C24" s="259" t="s">
        <v>143</v>
      </c>
      <c r="D24" s="258">
        <v>3</v>
      </c>
      <c r="E24" s="101"/>
      <c r="F24" s="122"/>
      <c r="G24" s="98"/>
      <c r="H24" s="102" t="s">
        <v>238</v>
      </c>
      <c r="I24" s="103">
        <v>10</v>
      </c>
      <c r="J24" s="103">
        <v>1</v>
      </c>
      <c r="K24" s="103">
        <v>15</v>
      </c>
      <c r="L24" s="103">
        <v>0</v>
      </c>
      <c r="M24" s="103">
        <f>30+145</f>
        <v>175</v>
      </c>
      <c r="N24" s="105">
        <f t="shared" si="1"/>
        <v>193</v>
      </c>
      <c r="O24" s="106">
        <f t="shared" si="2"/>
        <v>4489500</v>
      </c>
      <c r="P24" s="107">
        <f xml:space="preserve"> $I$1 * CEILING( 1* $O$24/ FLOOR(1* ( CEILING(($I$1 -20 - 4- 48- ($J$24 - 1) * 24 - 14) * (1 - $I$24/100), 1) - 4) / (MAX(1 * 3 + 4 + 2, ( 3 *1+ 1 * $K$24+ 3 * $L$24+ $M$24 )  )  + 2),1 ), 1 )/1024/1024</f>
        <v>947.953125</v>
      </c>
      <c r="Q24" s="123" t="s">
        <v>135</v>
      </c>
      <c r="R24" s="124"/>
      <c r="U24" s="85"/>
    </row>
    <row r="25" spans="2:21" ht="13.5" customHeight="1">
      <c r="B25" s="120"/>
      <c r="C25" s="259" t="s">
        <v>144</v>
      </c>
      <c r="D25" s="258">
        <v>1</v>
      </c>
      <c r="E25" s="101"/>
      <c r="F25" s="122"/>
      <c r="G25" s="98"/>
      <c r="H25" s="102" t="s">
        <v>91</v>
      </c>
      <c r="I25" s="103">
        <v>10</v>
      </c>
      <c r="J25" s="103">
        <v>1</v>
      </c>
      <c r="K25" s="103">
        <v>44</v>
      </c>
      <c r="L25" s="103">
        <v>0</v>
      </c>
      <c r="M25" s="103">
        <v>537</v>
      </c>
      <c r="N25" s="105">
        <f t="shared" si="1"/>
        <v>584</v>
      </c>
      <c r="O25" s="106">
        <f t="shared" si="2"/>
        <v>426000</v>
      </c>
      <c r="P25" s="107">
        <f xml:space="preserve"> $I$1 * CEILING( 1* $O$25/ FLOOR(1* ( CEILING(($I$1 -20 - 4- 48- ($J$25 - 1) * 24 - 14) * (1 - $I$25/100), 1) - 4) / (MAX(1 * 3 + 4 + 2, ( 3 *1+ 1 * $K$25+ 3 * $L$25+ $M$25 )  )  + 2),1 ), 1 )/1024/1024</f>
        <v>277.34375</v>
      </c>
      <c r="Q25" s="123" t="s">
        <v>127</v>
      </c>
      <c r="R25" s="124"/>
      <c r="U25" s="85"/>
    </row>
    <row r="26" spans="2:21">
      <c r="B26" s="120"/>
      <c r="C26" s="261" t="s">
        <v>0</v>
      </c>
      <c r="D26" s="258">
        <v>3</v>
      </c>
      <c r="E26" s="101" t="s">
        <v>1</v>
      </c>
      <c r="F26" s="122"/>
      <c r="G26" s="98"/>
      <c r="H26" s="102" t="s">
        <v>239</v>
      </c>
      <c r="I26" s="103">
        <v>10</v>
      </c>
      <c r="J26" s="103">
        <v>1</v>
      </c>
      <c r="K26" s="103">
        <v>11</v>
      </c>
      <c r="L26" s="103">
        <v>0</v>
      </c>
      <c r="M26" s="103">
        <f>30+76</f>
        <v>106</v>
      </c>
      <c r="N26" s="105">
        <f t="shared" si="1"/>
        <v>120</v>
      </c>
      <c r="O26" s="106">
        <f t="shared" si="2"/>
        <v>27000</v>
      </c>
      <c r="P26" s="107">
        <f xml:space="preserve"> $I$1 * CEILING( 1* $O$26/ FLOOR(1* ( CEILING(($I$1 -20 - 4- 48- ($J$26 - 1) * 24 - 14) * (1 - $I$26/100), 1) - 4) / (MAX(1 * 3 + 4 + 2, ( 3 *1+ 1 * $K$26+ 3 * $L$26+ $M$26 )  )  + 2),1 ), 1 )/1024/1024</f>
        <v>3.578125</v>
      </c>
      <c r="Q26" s="123" t="s">
        <v>141</v>
      </c>
      <c r="R26" s="124"/>
      <c r="U26" s="85"/>
    </row>
    <row r="27" spans="2:21" ht="15" customHeight="1">
      <c r="B27" s="120"/>
      <c r="C27" s="261" t="s">
        <v>2</v>
      </c>
      <c r="D27" s="258">
        <v>1</v>
      </c>
      <c r="E27" s="125"/>
      <c r="F27" s="122"/>
      <c r="G27" s="98"/>
      <c r="H27" s="102" t="s">
        <v>240</v>
      </c>
      <c r="I27" s="103">
        <v>10</v>
      </c>
      <c r="J27" s="103">
        <v>1</v>
      </c>
      <c r="K27" s="103">
        <v>164</v>
      </c>
      <c r="L27" s="103">
        <v>0</v>
      </c>
      <c r="M27" s="117">
        <f>30+1604</f>
        <v>1634</v>
      </c>
      <c r="N27" s="105">
        <f t="shared" si="1"/>
        <v>1801</v>
      </c>
      <c r="O27" s="106">
        <f t="shared" si="2"/>
        <v>54000</v>
      </c>
      <c r="P27" s="107">
        <f xml:space="preserve"> $I$1 * CEILING( 1* $O$27/ FLOOR(1* ( CEILING(($I$1 -20 - 4- 48- ($J$27 - 1) * 24 - 14) * (1 - $I$27/100), 1) - 4) / (MAX(1 * 3 + 4 + 2, ( 3 *1+ 1 * $K$27+ 3 * $L$27+ $M$27 )  )  + 2),1 ), 1 )/1024/1024</f>
        <v>105.46875</v>
      </c>
      <c r="Q27" s="123"/>
      <c r="R27" s="124"/>
      <c r="U27" s="85"/>
    </row>
    <row r="28" spans="2:21" ht="13.5" customHeight="1">
      <c r="B28" s="120"/>
      <c r="C28" s="101"/>
      <c r="F28" s="122"/>
      <c r="G28" s="98"/>
      <c r="H28" s="102" t="s">
        <v>258</v>
      </c>
      <c r="I28" s="103">
        <v>10</v>
      </c>
      <c r="J28" s="103">
        <v>1</v>
      </c>
      <c r="K28" s="103">
        <v>14</v>
      </c>
      <c r="L28" s="103">
        <v>0</v>
      </c>
      <c r="M28" s="103">
        <f>30+85</f>
        <v>115</v>
      </c>
      <c r="N28" s="105">
        <f t="shared" si="1"/>
        <v>132</v>
      </c>
      <c r="O28" s="106">
        <f t="shared" si="2"/>
        <v>2700</v>
      </c>
      <c r="P28" s="107">
        <f xml:space="preserve"> $I$1 * CEILING( 1* $O$28/ FLOOR(1* ( CEILING(($I$1 -20 - 4- 48- ($J$28 - 1) * 24 - 14) * (1 - $I$28/100), 1) - 4) / (MAX(1 * 3 + 4 + 2, ( 3 *1+ 1 * $K$28+ 3 * $L$28+ $M$28 )  )  + 2),1 ), 1 )/1024/1024</f>
        <v>0.390625</v>
      </c>
      <c r="Q28" s="123" t="s">
        <v>180</v>
      </c>
      <c r="R28" s="124"/>
      <c r="U28" s="85"/>
    </row>
    <row r="29" spans="2:21" ht="13.5" customHeight="1">
      <c r="B29" s="120"/>
      <c r="C29" s="101"/>
      <c r="F29" s="122"/>
      <c r="G29" s="98"/>
      <c r="H29" s="102" t="s">
        <v>526</v>
      </c>
      <c r="I29" s="103">
        <v>10</v>
      </c>
      <c r="J29" s="103">
        <v>1</v>
      </c>
      <c r="K29" s="103">
        <v>15</v>
      </c>
      <c r="L29" s="103">
        <v>0</v>
      </c>
      <c r="M29" s="103">
        <v>118</v>
      </c>
      <c r="N29" s="105">
        <f t="shared" si="1"/>
        <v>136</v>
      </c>
      <c r="O29" s="106">
        <f t="shared" si="2"/>
        <v>18000</v>
      </c>
      <c r="P29" s="107">
        <f xml:space="preserve"> $I$1 * CEILING( 1* $O$29/ FLOOR(1* ( CEILING(($I$1 -20 - 4- 48- ($J$29 - 1) * 24 - 14) * (1 - $I$29/100), 1) - 4) / (MAX(1 * 3 + 4 + 2, ( 3 *1+ 1 * $K$29+ 3 * $L$29+ $M$29 )  )  + 2),1 ), 1 )/1024/1024</f>
        <v>2.7109375</v>
      </c>
      <c r="Q29" s="123" t="s">
        <v>127</v>
      </c>
      <c r="R29" s="124"/>
      <c r="U29" s="85"/>
    </row>
    <row r="30" spans="2:21">
      <c r="B30" s="86"/>
      <c r="C30" s="101" t="s">
        <v>109</v>
      </c>
      <c r="D30" s="87"/>
      <c r="E30" s="87"/>
      <c r="F30" s="89"/>
      <c r="G30" s="98"/>
      <c r="H30" s="102" t="s">
        <v>259</v>
      </c>
      <c r="I30" s="103">
        <v>10</v>
      </c>
      <c r="J30" s="103">
        <v>1</v>
      </c>
      <c r="K30" s="103">
        <v>6</v>
      </c>
      <c r="L30" s="103">
        <v>0</v>
      </c>
      <c r="M30" s="103">
        <f>30+63</f>
        <v>93</v>
      </c>
      <c r="N30" s="105">
        <v>99</v>
      </c>
      <c r="O30" s="106">
        <f t="shared" si="2"/>
        <v>9000</v>
      </c>
      <c r="P30" s="107">
        <f xml:space="preserve"> $I$1 * CEILING( 1* $O$30/ FLOOR(1* ( CEILING(($I$1 -20 - 4- 48- ($J$30 - 1) * 24 - 14) * (1 - $I$30/100), 1) - 4) / (MAX(1 * 3 + 4 + 2, ( 3 *1+ 1 * $K$30+ 3 * $L$30+ $M$30 )  )  + 2),1 ), 1 )/1024/1024</f>
        <v>1.0078125</v>
      </c>
      <c r="Q30" s="123" t="s">
        <v>260</v>
      </c>
      <c r="R30" s="124"/>
      <c r="U30" s="85"/>
    </row>
    <row r="31" spans="2:21">
      <c r="B31" s="86"/>
      <c r="C31" s="126" t="s">
        <v>108</v>
      </c>
      <c r="D31" s="87"/>
      <c r="E31" s="87"/>
      <c r="F31" s="89"/>
      <c r="G31" s="98"/>
      <c r="H31" s="102" t="s">
        <v>94</v>
      </c>
      <c r="I31" s="103">
        <v>10</v>
      </c>
      <c r="J31" s="103">
        <v>1</v>
      </c>
      <c r="K31" s="103">
        <v>21</v>
      </c>
      <c r="L31" s="103">
        <v>0</v>
      </c>
      <c r="M31" s="103">
        <f>30+69</f>
        <v>99</v>
      </c>
      <c r="N31" s="105">
        <v>121</v>
      </c>
      <c r="O31" s="106">
        <f t="shared" si="2"/>
        <v>1000</v>
      </c>
      <c r="P31" s="107">
        <f xml:space="preserve"> $I$1 * CEILING( 1* $O$31/ FLOOR(1* ( CEILING(($I$1 -20 - 4- 48- ($J$31 - 1) * 24 - 14) * (1 - $I$31/100), 1) - 4) / (MAX(1 * 3 + 4 + 2, ( 3 *1+ 1 * $K$31+ 3 * $L$31+ $M$31 )  )  + 2),1 ), 1 )/1024/1024</f>
        <v>0.140625</v>
      </c>
      <c r="Q31" s="123" t="s">
        <v>241</v>
      </c>
      <c r="R31" s="124"/>
      <c r="U31" s="85"/>
    </row>
    <row r="32" spans="2:21" ht="14.25" customHeight="1" thickBot="1">
      <c r="B32" s="127"/>
      <c r="C32" s="128"/>
      <c r="D32" s="129"/>
      <c r="E32" s="129"/>
      <c r="F32" s="130"/>
      <c r="G32" s="98"/>
      <c r="H32" s="102" t="s">
        <v>95</v>
      </c>
      <c r="I32" s="103">
        <v>10</v>
      </c>
      <c r="J32" s="103">
        <v>1</v>
      </c>
      <c r="K32" s="103">
        <v>73</v>
      </c>
      <c r="L32" s="103">
        <v>0</v>
      </c>
      <c r="M32" s="103">
        <f>30+566</f>
        <v>596</v>
      </c>
      <c r="N32" s="105">
        <v>597</v>
      </c>
      <c r="O32" s="106">
        <f t="shared" ref="O32:O45" si="3">L116</f>
        <v>6000</v>
      </c>
      <c r="P32" s="107">
        <f xml:space="preserve"> $I$1 * CEILING( 1* $O$32/ FLOOR(1* ( CEILING(($I$1 -20 - 4- 48- ($J$32 - 1) * 24 - 14) * (1 - $I$32/100), 1) - 4) / (MAX(1 * 3 + 4 + 2, ( 3 *1+ 1 * $K$32+ 3 * $L$32+ $M$32 )  )  + 2),1 ), 1 )/1024/1024</f>
        <v>4.6875</v>
      </c>
      <c r="Q32" s="123" t="s">
        <v>242</v>
      </c>
      <c r="R32" s="124"/>
      <c r="U32" s="85"/>
    </row>
    <row r="33" spans="2:21" ht="13.5" customHeight="1">
      <c r="G33" s="98"/>
      <c r="H33" s="102" t="s">
        <v>96</v>
      </c>
      <c r="I33" s="103">
        <v>10</v>
      </c>
      <c r="J33" s="103">
        <v>1</v>
      </c>
      <c r="K33" s="103">
        <v>43</v>
      </c>
      <c r="L33" s="103">
        <v>0</v>
      </c>
      <c r="M33" s="103">
        <f>30+249</f>
        <v>279</v>
      </c>
      <c r="N33" s="105">
        <v>315</v>
      </c>
      <c r="O33" s="106">
        <f t="shared" si="3"/>
        <v>12000</v>
      </c>
      <c r="P33" s="107">
        <f xml:space="preserve"> $I$1 * CEILING( 1* $O$33/ FLOOR(1* ( CEILING(($I$1 -20 - 4- 48- ($J$33 - 1) * 24 - 14) * (1 - $I$33/100), 1) - 4) / (MAX(1 * 3 + 4 + 2, ( 3 *1+ 1 * $K$33+ 3 * $L$33+ $M$33 )  )  + 2),1 ), 1 )/1024/1024</f>
        <v>4.265625</v>
      </c>
      <c r="Q33" s="123"/>
      <c r="R33" s="124"/>
      <c r="U33" s="85"/>
    </row>
    <row r="34" spans="2:21" ht="13.5" customHeight="1">
      <c r="G34" s="98"/>
      <c r="H34" s="102" t="s">
        <v>97</v>
      </c>
      <c r="I34" s="103">
        <v>10</v>
      </c>
      <c r="J34" s="103">
        <v>1</v>
      </c>
      <c r="K34" s="103">
        <v>22</v>
      </c>
      <c r="L34" s="103">
        <v>0</v>
      </c>
      <c r="M34" s="103">
        <f>30+200</f>
        <v>230</v>
      </c>
      <c r="N34" s="105">
        <v>250</v>
      </c>
      <c r="O34" s="106">
        <f t="shared" si="3"/>
        <v>9000</v>
      </c>
      <c r="P34" s="107">
        <f xml:space="preserve"> $I$1 * CEILING( 1* $O$34/ FLOOR(1* ( CEILING(($I$1 -20 - 4- 48- ($J$34 - 1) * 24 - 14) * (1 - $I$34/100), 1) - 4) / (MAX(1 * 3 + 4 + 2, ( 3 *1+ 1 * $K$34+ 3 * $L$34+ $M$34 )  )  + 2),1 ), 1 )/1024/1024</f>
        <v>2.515625</v>
      </c>
      <c r="Q34" s="123" t="s">
        <v>243</v>
      </c>
      <c r="R34" s="124"/>
      <c r="U34" s="85"/>
    </row>
    <row r="35" spans="2:21">
      <c r="G35" s="98"/>
      <c r="H35" s="102" t="s">
        <v>98</v>
      </c>
      <c r="I35" s="103">
        <v>10</v>
      </c>
      <c r="J35" s="103">
        <v>1</v>
      </c>
      <c r="K35" s="103">
        <v>37</v>
      </c>
      <c r="L35" s="103">
        <v>0</v>
      </c>
      <c r="M35" s="103">
        <f>30+337</f>
        <v>367</v>
      </c>
      <c r="N35" s="105">
        <v>407</v>
      </c>
      <c r="O35" s="106">
        <f t="shared" si="3"/>
        <v>15000</v>
      </c>
      <c r="P35" s="107">
        <f xml:space="preserve"> $I$1 * CEILING( 1* $O$35/ FLOOR(1* ( CEILING(($I$1 -20 - 4- 48- ($J$35 - 1) * 24 - 14) * (1 - $I$35/100), 1) - 4) / (MAX(1 * 3 + 4 + 2, ( 3 *1+ 1 * $K$35+ 3 * $L$35+ $M$35 )  )  + 2),1 ), 1 )/1024/1024</f>
        <v>6.8984375</v>
      </c>
      <c r="Q35" s="123" t="s">
        <v>244</v>
      </c>
      <c r="R35" s="124"/>
      <c r="U35" s="85"/>
    </row>
    <row r="36" spans="2:21">
      <c r="B36" s="141"/>
      <c r="C36" s="138"/>
      <c r="D36" s="138"/>
      <c r="E36" s="138"/>
      <c r="G36" s="98"/>
      <c r="H36" s="102" t="s">
        <v>99</v>
      </c>
      <c r="I36" s="103">
        <v>10</v>
      </c>
      <c r="J36" s="103">
        <v>1</v>
      </c>
      <c r="K36" s="103">
        <v>82</v>
      </c>
      <c r="L36" s="103">
        <v>0</v>
      </c>
      <c r="M36" s="103">
        <f>30+584</f>
        <v>614</v>
      </c>
      <c r="N36" s="105">
        <v>638</v>
      </c>
      <c r="O36" s="106">
        <f t="shared" si="3"/>
        <v>30000</v>
      </c>
      <c r="P36" s="107">
        <f xml:space="preserve"> $I$1 * CEILING( 1* $O$36/ FLOOR(1* ( CEILING(($I$1 -20 - 4- 48- ($J$36 - 1) * 24 - 14) * (1 - $I$36/100), 1) - 4) / (MAX(1 * 3 + 4 + 2, ( 3 *1+ 1 * $K$36+ 3 * $L$36+ $M$36 )  )  + 2),1 ), 1 )/1024/1024</f>
        <v>23.4375</v>
      </c>
      <c r="Q36" s="123"/>
      <c r="R36" s="124"/>
      <c r="U36" s="85"/>
    </row>
    <row r="37" spans="2:21">
      <c r="B37" s="142"/>
      <c r="C37" s="138"/>
      <c r="D37" s="138"/>
      <c r="E37" s="138"/>
      <c r="G37" s="98"/>
      <c r="H37" s="102" t="s">
        <v>100</v>
      </c>
      <c r="I37" s="103">
        <v>10</v>
      </c>
      <c r="J37" s="103">
        <v>1</v>
      </c>
      <c r="K37" s="103">
        <v>41</v>
      </c>
      <c r="L37" s="103">
        <v>0</v>
      </c>
      <c r="M37" s="103">
        <f>30+221</f>
        <v>251</v>
      </c>
      <c r="N37" s="105">
        <v>295</v>
      </c>
      <c r="O37" s="106">
        <f t="shared" si="3"/>
        <v>360000</v>
      </c>
      <c r="P37" s="107">
        <f xml:space="preserve"> $I$1 * CEILING( 1* $O$37/ FLOOR(1* ( CEILING(($I$1 -20 - 4- 48- ($J$37 - 1) * 24 - 14) * (1 - $I$37/100), 1) - 4) / (MAX(1 * 3 + 4 + 2, ( 3 *1+ 1 * $K$37+ 3 * $L$37+ $M$37 )  )  + 2),1 ), 1 )/1024/1024</f>
        <v>117.1875</v>
      </c>
      <c r="Q37" s="123"/>
      <c r="R37" s="124"/>
      <c r="U37" s="85"/>
    </row>
    <row r="38" spans="2:21" ht="13.5" customHeight="1">
      <c r="B38" s="143"/>
      <c r="C38" s="138"/>
      <c r="D38" s="138"/>
      <c r="E38" s="138"/>
      <c r="G38" s="98"/>
      <c r="H38" s="102" t="s">
        <v>101</v>
      </c>
      <c r="I38" s="103">
        <v>10</v>
      </c>
      <c r="J38" s="103">
        <v>1</v>
      </c>
      <c r="K38" s="103">
        <v>86</v>
      </c>
      <c r="L38" s="103">
        <v>0</v>
      </c>
      <c r="M38" s="103">
        <f>30+771</f>
        <v>801</v>
      </c>
      <c r="N38" s="105">
        <f>3+1*K38+3*L38+M38</f>
        <v>890</v>
      </c>
      <c r="O38" s="106">
        <f t="shared" si="3"/>
        <v>9000</v>
      </c>
      <c r="P38" s="107">
        <f xml:space="preserve"> $I$1 * CEILING( 1* $O$38/ FLOOR(1* ( CEILING(($I$1 -20 - 4- 48- ($J$38 - 1) * 24 - 14) * (1 - $I$38/100), 1) - 4) / (MAX(1 * 3 + 4 + 2, ( 3 *1+ 1 * $K$38+ 3 * $L$38+ $M$38 )  )  + 2),1 ), 1 )/1024/1024</f>
        <v>8.7890625</v>
      </c>
      <c r="Q38" s="123" t="s">
        <v>245</v>
      </c>
      <c r="R38" s="124"/>
      <c r="U38" s="85"/>
    </row>
    <row r="39" spans="2:21" ht="13.5" customHeight="1">
      <c r="B39" s="143"/>
      <c r="D39" s="138"/>
      <c r="E39" s="138"/>
      <c r="G39" s="98"/>
      <c r="H39" s="102" t="s">
        <v>102</v>
      </c>
      <c r="I39" s="103">
        <v>10</v>
      </c>
      <c r="J39" s="103">
        <v>1</v>
      </c>
      <c r="K39" s="103">
        <v>17</v>
      </c>
      <c r="L39" s="103">
        <v>0</v>
      </c>
      <c r="M39" s="103">
        <f>30+104</f>
        <v>134</v>
      </c>
      <c r="N39" s="105">
        <v>137</v>
      </c>
      <c r="O39" s="106">
        <f t="shared" si="3"/>
        <v>446</v>
      </c>
      <c r="P39" s="107">
        <f xml:space="preserve"> $I$1 * CEILING( 1* $O$39/ FLOOR(1* ( CEILING(($I$1 -20 - 4- 48- ($J$39 - 1) * 24 - 14) * (1 - $I$39/100), 1) - 4) / (MAX(1 * 3 + 4 + 2, ( 3 *1+ 1 * $K$39+ 3 * $L$39+ $M$39 )  )  + 2),1 ), 1 )/1024/1024</f>
        <v>7.8125E-2</v>
      </c>
      <c r="Q39" s="123"/>
      <c r="R39" s="124"/>
      <c r="U39" s="85"/>
    </row>
    <row r="40" spans="2:21" ht="13.5" customHeight="1">
      <c r="B40" s="143"/>
      <c r="D40" s="138"/>
      <c r="E40" s="138"/>
      <c r="G40" s="98"/>
      <c r="H40" s="102" t="s">
        <v>103</v>
      </c>
      <c r="I40" s="103">
        <v>10</v>
      </c>
      <c r="J40" s="103">
        <v>1</v>
      </c>
      <c r="K40" s="103">
        <v>22</v>
      </c>
      <c r="L40" s="103">
        <v>0</v>
      </c>
      <c r="M40" s="103">
        <f>30+172</f>
        <v>202</v>
      </c>
      <c r="N40" s="105">
        <v>223</v>
      </c>
      <c r="O40" s="106">
        <f t="shared" si="3"/>
        <v>7200</v>
      </c>
      <c r="P40" s="107">
        <f xml:space="preserve"> $I$1 * CEILING( 1* $O$40/ FLOOR(1* ( CEILING(($I$1 -20 - 4- 48- ($J$40 - 1) * 24 - 14) * (1 - $I$40/100), 1) - 4) / (MAX(1 * 3 + 4 + 2, ( 3 *1+ 1 * $K$40+ 3 * $L$40+ $M$40 )  )  + 2),1 ), 1 )/1024/1024</f>
        <v>1.8203125</v>
      </c>
      <c r="Q40" s="123" t="s">
        <v>246</v>
      </c>
      <c r="R40" s="124"/>
      <c r="U40" s="85"/>
    </row>
    <row r="41" spans="2:21">
      <c r="B41" s="143"/>
      <c r="C41" s="143"/>
      <c r="D41" s="143"/>
      <c r="E41" s="138"/>
      <c r="G41" s="98"/>
      <c r="H41" s="102" t="s">
        <v>104</v>
      </c>
      <c r="I41" s="103">
        <v>10</v>
      </c>
      <c r="J41" s="103">
        <v>1</v>
      </c>
      <c r="K41" s="103">
        <v>20</v>
      </c>
      <c r="L41" s="103">
        <v>0</v>
      </c>
      <c r="M41" s="103">
        <f>30+172</f>
        <v>202</v>
      </c>
      <c r="N41" s="105">
        <v>225</v>
      </c>
      <c r="O41" s="106">
        <f t="shared" si="3"/>
        <v>507</v>
      </c>
      <c r="P41" s="107">
        <f xml:space="preserve"> $I$1 * CEILING( 1* $O$41/ FLOOR(1* ( CEILING(($I$1 -20 - 4- 48- ($J$41 - 1) * 24 - 14) * (1 - $I$41/100), 1) - 4) / (MAX(1 * 3 + 4 + 2, ( 3 *1+ 1 * $K$41+ 3 * $L$41+ $M$41 )  )  + 2),1 ), 1 )/1024/1024</f>
        <v>0.125</v>
      </c>
      <c r="Q41" s="123" t="s">
        <v>247</v>
      </c>
      <c r="R41" s="124"/>
      <c r="U41" s="85"/>
    </row>
    <row r="42" spans="2:21">
      <c r="B42" s="143"/>
      <c r="C42" s="85"/>
      <c r="D42" s="138"/>
      <c r="E42" s="138"/>
      <c r="G42" s="98"/>
      <c r="H42" s="102" t="s">
        <v>248</v>
      </c>
      <c r="I42" s="103">
        <v>10</v>
      </c>
      <c r="J42" s="103">
        <v>1</v>
      </c>
      <c r="K42" s="103">
        <v>11</v>
      </c>
      <c r="L42" s="103">
        <v>0</v>
      </c>
      <c r="M42" s="103">
        <f>30+54</f>
        <v>84</v>
      </c>
      <c r="N42" s="105">
        <v>100</v>
      </c>
      <c r="O42" s="106">
        <f t="shared" si="3"/>
        <v>3</v>
      </c>
      <c r="P42" s="107">
        <f xml:space="preserve"> $I$1 * CEILING( 1* $O$42/ FLOOR(1* ( CEILING(($I$1 -20 - 4- 48- ($J$42 - 1) * 24 - 14) * (1 - $I$42/100), 1) - 4) / (MAX(1 * 3 + 4 + 2, ( 3 *1+ 1 * $K$42+ 3 * $L$42+ $M$42 )  )  + 2),1 ), 1 )/1024/1024</f>
        <v>7.8125E-3</v>
      </c>
      <c r="Q42" s="123" t="s">
        <v>249</v>
      </c>
      <c r="R42" s="124"/>
      <c r="U42" s="85"/>
    </row>
    <row r="43" spans="2:21" ht="13.5" customHeight="1">
      <c r="G43" s="98"/>
      <c r="H43" s="102" t="s">
        <v>55</v>
      </c>
      <c r="I43" s="103">
        <v>10</v>
      </c>
      <c r="J43" s="103">
        <v>1</v>
      </c>
      <c r="K43" s="103">
        <v>12</v>
      </c>
      <c r="L43" s="103">
        <v>0</v>
      </c>
      <c r="M43" s="103">
        <f>30+61</f>
        <v>91</v>
      </c>
      <c r="N43" s="105">
        <v>109</v>
      </c>
      <c r="O43" s="106">
        <f t="shared" si="3"/>
        <v>3</v>
      </c>
      <c r="P43" s="107">
        <f xml:space="preserve"> $I$1 * CEILING( 1* $O$43/ FLOOR(1* ( CEILING(($I$1 -20 - 4- 48- ($J$43 - 1) * 24 - 14) * (1 - $I$43/100), 1) - 4) / (MAX(1 * 3 + 4 + 2, ( 3 *1+ 1 * $K$43+ 3 * $L$43+ $M$43 )  )  + 2),1 ), 1 )/1024/1024</f>
        <v>7.8125E-3</v>
      </c>
      <c r="Q43" s="123" t="s">
        <v>250</v>
      </c>
      <c r="R43" s="124"/>
      <c r="U43" s="85"/>
    </row>
    <row r="44" spans="2:21">
      <c r="G44" s="98"/>
      <c r="H44" s="102" t="s">
        <v>251</v>
      </c>
      <c r="I44" s="103">
        <v>10</v>
      </c>
      <c r="J44" s="103">
        <v>1</v>
      </c>
      <c r="K44" s="103">
        <v>11</v>
      </c>
      <c r="L44" s="103">
        <v>0</v>
      </c>
      <c r="M44" s="103">
        <f>30+77</f>
        <v>107</v>
      </c>
      <c r="N44" s="105">
        <v>126</v>
      </c>
      <c r="O44" s="106">
        <f t="shared" si="3"/>
        <v>61.5</v>
      </c>
      <c r="P44" s="107">
        <f xml:space="preserve"> $I$1 * CEILING( 1* $O$44/ FLOOR(1* ( CEILING(($I$1 -20 - 4- 48- ($J$44 - 1) * 24 - 14) * (1 - $I$44/100), 1) - 4) / (MAX(1 * 3 + 4 + 2, ( 3 *1+ 1 * $K$44+ 3 * $L$44+ $M$44 )  )  + 2),1 ), 1 )/1024/1024</f>
        <v>1.5625E-2</v>
      </c>
      <c r="Q44" s="123" t="s">
        <v>252</v>
      </c>
      <c r="R44" s="124"/>
      <c r="U44" s="85"/>
    </row>
    <row r="45" spans="2:21" ht="30" customHeight="1">
      <c r="G45" s="98"/>
      <c r="H45" s="102" t="s">
        <v>253</v>
      </c>
      <c r="I45" s="103">
        <v>10</v>
      </c>
      <c r="J45" s="103">
        <v>1</v>
      </c>
      <c r="K45" s="103">
        <v>24</v>
      </c>
      <c r="L45" s="103">
        <v>0</v>
      </c>
      <c r="M45" s="103">
        <f>30+115</f>
        <v>145</v>
      </c>
      <c r="N45" s="105">
        <v>199</v>
      </c>
      <c r="O45" s="106">
        <f t="shared" si="3"/>
        <v>1206</v>
      </c>
      <c r="P45" s="107">
        <f xml:space="preserve"> $I$1 * CEILING( 1* $O$45/ FLOOR(1* ( CEILING(($I$1 -20 - 4- 48- ($J$45 - 1) * 24 - 14) * (1 - $I$45/100), 1) - 4) / (MAX(1 * 3 + 4 + 2, ( 3 *1+ 1 * $K$45+ 3 * $L$45+ $M$45 )  )  + 2),1 ), 1 )/1024/1024</f>
        <v>0.234375</v>
      </c>
      <c r="Q45" s="338" t="s">
        <v>254</v>
      </c>
      <c r="R45" s="339"/>
      <c r="U45" s="85"/>
    </row>
    <row r="46" spans="2:21">
      <c r="G46" s="98"/>
      <c r="H46" s="102" t="s">
        <v>272</v>
      </c>
      <c r="I46" s="103">
        <v>10</v>
      </c>
      <c r="J46" s="103">
        <v>1</v>
      </c>
      <c r="K46" s="103">
        <v>17</v>
      </c>
      <c r="L46" s="103">
        <v>3</v>
      </c>
      <c r="M46" s="103">
        <f>30+7000</f>
        <v>7030</v>
      </c>
      <c r="N46" s="105">
        <v>4605</v>
      </c>
      <c r="O46" s="106">
        <v>9000</v>
      </c>
      <c r="P46" s="107">
        <v>70.3125</v>
      </c>
      <c r="Q46" s="123" t="s">
        <v>273</v>
      </c>
      <c r="R46" s="124"/>
      <c r="U46" s="85"/>
    </row>
    <row r="47" spans="2:21">
      <c r="G47" s="98"/>
      <c r="H47" s="102" t="s">
        <v>552</v>
      </c>
      <c r="I47" s="103">
        <v>10</v>
      </c>
      <c r="J47" s="103">
        <v>1</v>
      </c>
      <c r="K47" s="103">
        <v>17</v>
      </c>
      <c r="L47" s="103">
        <v>0</v>
      </c>
      <c r="M47" s="103">
        <v>1117</v>
      </c>
      <c r="N47" s="105">
        <f t="shared" ref="N47:N54" si="4">3+1*K47+3*L47+M47</f>
        <v>1137</v>
      </c>
      <c r="O47" s="106">
        <f t="shared" ref="O47:O54" si="5">L130</f>
        <v>11700</v>
      </c>
      <c r="P47" s="107">
        <f xml:space="preserve"> $I$1 * CEILING( 1* $O$47/ FLOOR(1* ( CEILING(($I$1 -20 - 4- 48- ($J$47 - 1) * 24 - 14) * (1 - $I$47/100), 1) - 4) / (MAX(1 * 3 + 4 + 2, ( 3 *1+ 1 * $K$47+ 3 * $L$47+ $M$47 )  )  + 2),1 ), 1 )/1024/1024</f>
        <v>15.234375</v>
      </c>
      <c r="Q47" s="333" t="s">
        <v>581</v>
      </c>
      <c r="R47" s="334"/>
      <c r="U47" s="85"/>
    </row>
    <row r="48" spans="2:21">
      <c r="G48" s="98"/>
      <c r="H48" s="102" t="s">
        <v>556</v>
      </c>
      <c r="I48" s="103">
        <v>10</v>
      </c>
      <c r="J48" s="103">
        <v>1</v>
      </c>
      <c r="K48" s="103">
        <v>62</v>
      </c>
      <c r="L48" s="103">
        <v>0</v>
      </c>
      <c r="M48" s="103">
        <v>635</v>
      </c>
      <c r="N48" s="105">
        <f t="shared" si="4"/>
        <v>700</v>
      </c>
      <c r="O48" s="106">
        <f t="shared" si="5"/>
        <v>11700</v>
      </c>
      <c r="P48" s="107">
        <f xml:space="preserve"> $I$1 * CEILING( 1* $O$48/ FLOOR(1* ( CEILING(($I$1 -20 - 4- 48- ($J$48 - 1) * 24 - 14) * (1 - $I$48/100), 1) - 4) / (MAX(1 * 3 + 4 + 2, ( 3 *1+ 1 * $K$48+ 3 * $L$48+ $M$48 )  )  + 2),1 ), 1 )/1024/1024</f>
        <v>9.140625</v>
      </c>
      <c r="Q48" s="333" t="s">
        <v>582</v>
      </c>
      <c r="R48" s="334"/>
      <c r="U48" s="85"/>
    </row>
    <row r="49" spans="7:21">
      <c r="G49" s="98"/>
      <c r="H49" s="102" t="s">
        <v>557</v>
      </c>
      <c r="I49" s="103">
        <v>10</v>
      </c>
      <c r="J49" s="103">
        <v>1</v>
      </c>
      <c r="K49" s="103">
        <v>182</v>
      </c>
      <c r="L49" s="103">
        <v>0</v>
      </c>
      <c r="M49" s="103">
        <v>1968</v>
      </c>
      <c r="N49" s="105">
        <f t="shared" si="4"/>
        <v>2153</v>
      </c>
      <c r="O49" s="106">
        <f t="shared" si="5"/>
        <v>4500</v>
      </c>
      <c r="P49" s="107">
        <f xml:space="preserve"> $I$1 * CEILING( 1* $O$49/ FLOOR(1* ( CEILING(($I$1 -20 - 4- 48- ($J$49 - 1) * 24 - 14) * (1 - $I$49/100), 1) - 4) / (MAX(1 * 3 + 4 + 2, ( 3 *1+ 1 * $K$49+ 3 * $L$49+ $M$49 )  )  + 2),1 ), 1 )/1024/1024</f>
        <v>11.71875</v>
      </c>
      <c r="Q49" s="333" t="s">
        <v>582</v>
      </c>
      <c r="R49" s="334"/>
      <c r="U49" s="85"/>
    </row>
    <row r="50" spans="7:21">
      <c r="G50" s="98"/>
      <c r="H50" s="102" t="s">
        <v>558</v>
      </c>
      <c r="I50" s="103">
        <v>10</v>
      </c>
      <c r="J50" s="103">
        <v>1</v>
      </c>
      <c r="K50" s="103">
        <v>16</v>
      </c>
      <c r="L50" s="103">
        <v>0</v>
      </c>
      <c r="M50" s="103">
        <v>1111</v>
      </c>
      <c r="N50" s="105">
        <f t="shared" si="4"/>
        <v>1130</v>
      </c>
      <c r="O50" s="106">
        <f t="shared" si="5"/>
        <v>2700</v>
      </c>
      <c r="P50" s="107">
        <f xml:space="preserve"> $I$1 * CEILING( 1* $O$50/ FLOOR(1* ( CEILING(($I$1 -20 - 4- 48- ($J$50 - 1) * 24 - 14) * (1 - $I$50/100), 1) - 4) / (MAX(1 * 3 + 4 + 2, ( 3 *1+ 1 * $K$50+ 3 * $L$50+ $M$50 )  )  + 2),1 ), 1 )/1024/1024</f>
        <v>3.515625</v>
      </c>
      <c r="Q50" s="333" t="s">
        <v>582</v>
      </c>
      <c r="R50" s="334"/>
      <c r="U50" s="85"/>
    </row>
    <row r="51" spans="7:21">
      <c r="G51" s="98"/>
      <c r="H51" s="102" t="s">
        <v>559</v>
      </c>
      <c r="I51" s="103">
        <v>10</v>
      </c>
      <c r="J51" s="103">
        <v>1</v>
      </c>
      <c r="K51" s="103">
        <v>62</v>
      </c>
      <c r="L51" s="103">
        <v>0</v>
      </c>
      <c r="M51" s="103">
        <v>635</v>
      </c>
      <c r="N51" s="105">
        <f t="shared" si="4"/>
        <v>700</v>
      </c>
      <c r="O51" s="106">
        <f t="shared" si="5"/>
        <v>2700</v>
      </c>
      <c r="P51" s="107">
        <f xml:space="preserve"> $I$1 * CEILING( 1* $O$51/ FLOOR(1* ( CEILING(($I$1 -20 - 4- 48- ($J$51 - 1) * 24 - 14) * (1 - $I$51/100), 1) - 4) / (MAX(1 * 3 + 4 + 2, ( 3 *1+ 1 * $K$51+ 3 * $L$51+ $M$51 )  )  + 2),1 ), 1 )/1024/1024</f>
        <v>2.109375</v>
      </c>
      <c r="Q51" s="333" t="s">
        <v>582</v>
      </c>
      <c r="R51" s="334"/>
      <c r="U51" s="85"/>
    </row>
    <row r="52" spans="7:21">
      <c r="G52" s="98"/>
      <c r="H52" s="102" t="s">
        <v>560</v>
      </c>
      <c r="I52" s="103">
        <v>10</v>
      </c>
      <c r="J52" s="103">
        <v>1</v>
      </c>
      <c r="K52" s="103">
        <v>15</v>
      </c>
      <c r="L52" s="103">
        <v>0</v>
      </c>
      <c r="M52" s="103">
        <v>1058</v>
      </c>
      <c r="N52" s="105">
        <f t="shared" si="4"/>
        <v>1076</v>
      </c>
      <c r="O52" s="106">
        <f t="shared" si="5"/>
        <v>5850</v>
      </c>
      <c r="P52" s="107">
        <f xml:space="preserve"> $I$1 * CEILING( 1* $O$52/ FLOOR(1* ( CEILING(($I$1 -20 - 4- 48- ($J$52 - 1) * 24 - 14) * (1 - $I$52/100), 1) - 4) / (MAX(1 * 3 + 4 + 2, ( 3 *1+ 1 * $K$52+ 3 * $L$52+ $M$52 )  )  + 2),1 ), 1 )/1024/1024</f>
        <v>7.6171875</v>
      </c>
      <c r="Q52" s="333" t="s">
        <v>583</v>
      </c>
      <c r="R52" s="334"/>
      <c r="U52" s="85"/>
    </row>
    <row r="53" spans="7:21">
      <c r="G53" s="98"/>
      <c r="H53" s="102" t="s">
        <v>561</v>
      </c>
      <c r="I53" s="103">
        <v>10</v>
      </c>
      <c r="J53" s="103">
        <v>1</v>
      </c>
      <c r="K53" s="103">
        <v>49</v>
      </c>
      <c r="L53" s="103">
        <v>0</v>
      </c>
      <c r="M53" s="103">
        <v>595</v>
      </c>
      <c r="N53" s="105">
        <f t="shared" si="4"/>
        <v>647</v>
      </c>
      <c r="O53" s="106">
        <f t="shared" si="5"/>
        <v>5850</v>
      </c>
      <c r="P53" s="107">
        <f xml:space="preserve"> $I$1 * CEILING( 1* $O$53/ FLOOR(1* ( CEILING(($I$1 -20 - 4- 48- ($J$53 - 1) * 24 - 14) * (1 - $I$53/100), 1) - 4) / (MAX(1 * 3 + 4 + 2, ( 3 *1+ 1 * $K$53+ 3 * $L$53+ $M$53 )  )  + 2),1 ), 1 )/1024/1024</f>
        <v>4.15625</v>
      </c>
      <c r="Q53" s="333" t="s">
        <v>583</v>
      </c>
      <c r="R53" s="334"/>
      <c r="U53" s="85"/>
    </row>
    <row r="54" spans="7:21">
      <c r="G54" s="98"/>
      <c r="H54" s="102" t="s">
        <v>562</v>
      </c>
      <c r="I54" s="103">
        <v>10</v>
      </c>
      <c r="J54" s="103">
        <v>1</v>
      </c>
      <c r="K54" s="103">
        <v>141</v>
      </c>
      <c r="L54" s="103">
        <v>0</v>
      </c>
      <c r="M54" s="103">
        <v>1630</v>
      </c>
      <c r="N54" s="105">
        <f t="shared" si="4"/>
        <v>1774</v>
      </c>
      <c r="O54" s="106">
        <f t="shared" si="5"/>
        <v>1350</v>
      </c>
      <c r="P54" s="107">
        <f xml:space="preserve"> $I$1 * CEILING( 1* $O$54/ FLOOR(1* ( CEILING(($I$1 -20 - 4- 48- ($J$54 - 1) * 24 - 14) * (1 - $I$54/100), 1) - 4) / (MAX(1 * 3 + 4 + 2, ( 3 *1+ 1 * $K$54+ 3 * $L$54+ $M$54 )  )  + 2),1 ), 1 )/1024/1024</f>
        <v>2.640625</v>
      </c>
      <c r="Q54" s="333" t="s">
        <v>583</v>
      </c>
      <c r="R54" s="334"/>
      <c r="U54" s="85"/>
    </row>
    <row r="55" spans="7:21">
      <c r="G55" s="98"/>
      <c r="H55" s="102" t="s">
        <v>566</v>
      </c>
      <c r="I55" s="103">
        <v>10</v>
      </c>
      <c r="J55" s="103">
        <v>1</v>
      </c>
      <c r="K55" s="103">
        <v>60</v>
      </c>
      <c r="L55" s="103">
        <v>0</v>
      </c>
      <c r="M55" s="103">
        <v>1347</v>
      </c>
      <c r="N55" s="105">
        <f t="shared" ref="N55:N64" si="6">3+1*K55+3*L55+M55</f>
        <v>1410</v>
      </c>
      <c r="O55" s="106">
        <f>L137</f>
        <v>1350</v>
      </c>
      <c r="P55" s="107">
        <f xml:space="preserve"> $I$1 * CEILING( 1* $O$55/ FLOOR(1* ( CEILING(($I$1 -20 - 4- 48- ($J$55 - 1) * 24 - 14) * (1 - $I$55/100), 1) - 4) / (MAX(1 * 3 + 4 + 2, ( 3 *1+ 1 * $K$55+ 3 * $L$55+ $M$55 )  )  + 2),1 ), 1 )/1024/1024</f>
        <v>2.109375</v>
      </c>
      <c r="Q55" s="333"/>
      <c r="R55" s="334"/>
      <c r="U55" s="85"/>
    </row>
    <row r="56" spans="7:21">
      <c r="G56" s="98"/>
      <c r="H56" s="102" t="s">
        <v>568</v>
      </c>
      <c r="I56" s="103">
        <v>10</v>
      </c>
      <c r="J56" s="103">
        <v>1</v>
      </c>
      <c r="K56" s="103">
        <v>36</v>
      </c>
      <c r="L56" s="103">
        <v>0</v>
      </c>
      <c r="M56" s="103">
        <v>7000</v>
      </c>
      <c r="N56" s="105">
        <f t="shared" si="6"/>
        <v>7039</v>
      </c>
      <c r="O56" s="106">
        <f>L138</f>
        <v>300</v>
      </c>
      <c r="P56" s="107">
        <f xml:space="preserve"> $I$1 * CEILING( 1* $O$56/ FLOOR(1* ( CEILING(($I$1 -20 - 4- 48- ($J$56 - 1) * 24 - 14) * (1 - $I$56/100), 1) - 4) / (MAX(1 * 3 + 4 + 2, ( 3 *1+ 1 * $K$56+ 3 * $L$56+ $M$56 )  )  + 2),1 ), 1 )/1024/1024</f>
        <v>2.34375</v>
      </c>
      <c r="Q56" s="333"/>
      <c r="R56" s="334"/>
      <c r="U56" s="85"/>
    </row>
    <row r="57" spans="7:21">
      <c r="G57" s="98"/>
      <c r="H57" s="102" t="s">
        <v>569</v>
      </c>
      <c r="I57" s="103">
        <v>10</v>
      </c>
      <c r="J57" s="103">
        <v>1</v>
      </c>
      <c r="K57" s="103">
        <v>48</v>
      </c>
      <c r="L57" s="103">
        <v>0</v>
      </c>
      <c r="M57" s="103">
        <v>830</v>
      </c>
      <c r="N57" s="105">
        <f t="shared" si="6"/>
        <v>881</v>
      </c>
      <c r="O57" s="106">
        <f>L139</f>
        <v>3000</v>
      </c>
      <c r="P57" s="107">
        <f xml:space="preserve"> $I$1 * CEILING( 1* $O$57/ FLOOR(1* ( CEILING(($I$1 -20 - 4- 48- ($J$57 - 1) * 24 - 14) * (1 - $I$57/100), 1) - 4) / (MAX(1 * 3 + 4 + 2, ( 3 *1+ 1 * $K$57+ 3 * $L$57+ $M$57 )  )  + 2),1 ), 1 )/1024/1024</f>
        <v>2.9296875</v>
      </c>
      <c r="Q57" s="333"/>
      <c r="R57" s="334"/>
      <c r="U57" s="85"/>
    </row>
    <row r="58" spans="7:21">
      <c r="G58" s="98"/>
      <c r="H58" s="102" t="s">
        <v>571</v>
      </c>
      <c r="I58" s="103">
        <v>10</v>
      </c>
      <c r="J58" s="103">
        <v>1</v>
      </c>
      <c r="K58" s="103">
        <v>13</v>
      </c>
      <c r="L58" s="103">
        <v>0</v>
      </c>
      <c r="M58" s="103">
        <v>90</v>
      </c>
      <c r="N58" s="105">
        <f t="shared" si="6"/>
        <v>106</v>
      </c>
      <c r="O58" s="106">
        <f>L140</f>
        <v>3000</v>
      </c>
      <c r="P58" s="107">
        <f xml:space="preserve"> $I$1 * CEILING( 1* $O$58/ FLOOR(1* ( CEILING(($I$1 -20 - 4- 48- ($J$58 - 1) * 24 - 14) * (1 - $I$58/100), 1) - 4) / (MAX(1 * 3 + 4 + 2, ( 3 *1+ 1 * $K$58+ 3 * $L$58+ $M$58 )  )  + 2),1 ), 1 )/1024/1024</f>
        <v>0.3515625</v>
      </c>
      <c r="Q58" s="333"/>
      <c r="R58" s="334"/>
      <c r="U58" s="85"/>
    </row>
    <row r="59" spans="7:21">
      <c r="G59" s="98"/>
      <c r="H59" s="102" t="s">
        <v>572</v>
      </c>
      <c r="I59" s="103">
        <v>10</v>
      </c>
      <c r="J59" s="103">
        <v>1</v>
      </c>
      <c r="K59" s="103">
        <v>14</v>
      </c>
      <c r="L59" s="103">
        <v>0</v>
      </c>
      <c r="M59" s="103">
        <f>562+1500</f>
        <v>2062</v>
      </c>
      <c r="N59" s="105">
        <f t="shared" si="6"/>
        <v>2079</v>
      </c>
      <c r="O59" s="106">
        <f>L142</f>
        <v>3000</v>
      </c>
      <c r="P59" s="107">
        <f xml:space="preserve"> $I$1 * CEILING( 1* $O$59/ FLOOR(1* ( CEILING(($I$1 -20 - 4- 48- ($J$59 - 1) * 24 - 14) * (1 - $I$59/100), 1) - 4) / (MAX(1 * 3 + 4 + 2, ( 3 *1+ 1 * $K$59+ 3 * $L$59+ $M$59 )  )  + 2),1 ), 1 )/1024/1024</f>
        <v>7.8125</v>
      </c>
      <c r="Q59" s="333"/>
      <c r="R59" s="334"/>
      <c r="U59" s="85"/>
    </row>
    <row r="60" spans="7:21">
      <c r="G60" s="98"/>
      <c r="H60" s="102" t="s">
        <v>573</v>
      </c>
      <c r="I60" s="103">
        <v>10</v>
      </c>
      <c r="J60" s="103">
        <v>1</v>
      </c>
      <c r="K60" s="103">
        <v>13</v>
      </c>
      <c r="L60" s="103">
        <v>0</v>
      </c>
      <c r="M60" s="103">
        <f>207+1500</f>
        <v>1707</v>
      </c>
      <c r="N60" s="105">
        <f t="shared" si="6"/>
        <v>1723</v>
      </c>
      <c r="O60" s="106">
        <f>L143</f>
        <v>3000</v>
      </c>
      <c r="P60" s="107">
        <f xml:space="preserve"> $I$1 * CEILING( 1* $O$60/ FLOOR(1* ( CEILING(($I$1 -20 - 4- 48- ($J$60 - 1) * 24 - 14) * (1 - $I$60/100), 1) - 4) / (MAX(1 * 3 + 4 + 2, ( 3 *1+ 1 * $K$60+ 3 * $L$60+ $M$60 )  )  + 2),1 ), 1 )/1024/1024</f>
        <v>5.859375</v>
      </c>
      <c r="Q60" s="333"/>
      <c r="R60" s="334"/>
      <c r="U60" s="85"/>
    </row>
    <row r="61" spans="7:21">
      <c r="G61" s="98"/>
      <c r="H61" s="102" t="s">
        <v>573</v>
      </c>
      <c r="I61" s="103">
        <v>10</v>
      </c>
      <c r="J61" s="103">
        <v>1</v>
      </c>
      <c r="K61" s="103">
        <v>14</v>
      </c>
      <c r="L61" s="103">
        <v>0</v>
      </c>
      <c r="M61" s="103">
        <f>210+1500</f>
        <v>1710</v>
      </c>
      <c r="N61" s="105">
        <f t="shared" si="6"/>
        <v>1727</v>
      </c>
      <c r="O61" s="106">
        <f>L144</f>
        <v>3000</v>
      </c>
      <c r="P61" s="107">
        <f xml:space="preserve"> $I$1 * CEILING( 1* $O$61/ FLOOR(1* ( CEILING(($I$1 -20 - 4- 48- ($J$61 - 1) * 24 - 14) * (1 - $I$61/100), 1) - 4) / (MAX(1 * 3 + 4 + 2, ( 3 *1+ 1 * $K$61+ 3 * $L$61+ $M$61 )  )  + 2),1 ), 1 )/1024/1024</f>
        <v>5.859375</v>
      </c>
      <c r="Q61" s="333"/>
      <c r="R61" s="334"/>
      <c r="U61" s="85"/>
    </row>
    <row r="62" spans="7:21">
      <c r="G62" s="98"/>
      <c r="H62" s="102" t="s">
        <v>574</v>
      </c>
      <c r="I62" s="103">
        <v>10</v>
      </c>
      <c r="J62" s="103">
        <v>1</v>
      </c>
      <c r="K62" s="103">
        <v>14</v>
      </c>
      <c r="L62" s="103">
        <v>0</v>
      </c>
      <c r="M62" s="103">
        <f>210+1500</f>
        <v>1710</v>
      </c>
      <c r="N62" s="105">
        <f t="shared" si="6"/>
        <v>1727</v>
      </c>
      <c r="O62" s="106">
        <f>L146</f>
        <v>3000</v>
      </c>
      <c r="P62" s="107">
        <f xml:space="preserve"> $I$1 * CEILING( 1* $O$62/ FLOOR(1* ( CEILING(($I$1 -20 - 4- 48- ($J$62 - 1) * 24 - 14) * (1 - $I$62/100), 1) - 4) / (MAX(1 * 3 + 4 + 2, ( 3 *1+ 1 * $K$62+ 3 * $L$62+ $M$62 )  )  + 2),1 ), 1 )/1024/1024</f>
        <v>5.859375</v>
      </c>
      <c r="Q62" s="333"/>
      <c r="R62" s="334"/>
      <c r="U62" s="85"/>
    </row>
    <row r="63" spans="7:21">
      <c r="G63" s="98"/>
      <c r="H63" s="102" t="s">
        <v>575</v>
      </c>
      <c r="I63" s="103">
        <v>10</v>
      </c>
      <c r="J63" s="103">
        <v>1</v>
      </c>
      <c r="K63" s="103">
        <v>14</v>
      </c>
      <c r="L63" s="103">
        <v>0</v>
      </c>
      <c r="M63" s="103">
        <f>210+1500</f>
        <v>1710</v>
      </c>
      <c r="N63" s="105">
        <f t="shared" si="6"/>
        <v>1727</v>
      </c>
      <c r="O63" s="106">
        <f>L146</f>
        <v>3000</v>
      </c>
      <c r="P63" s="107">
        <f xml:space="preserve"> $I$1 * CEILING( 1* $O$63/ FLOOR(1* ( CEILING(($I$1 -20 - 4- 48- ($J$63 - 1) * 24 - 14) * (1 - $I$63/100), 1) - 4) / (MAX(1 * 3 + 4 + 2, ( 3 *1+ 1 * $K$63+ 3 * $L$63+ $M$63 )  )  + 2),1 ), 1 )/1024/1024</f>
        <v>5.859375</v>
      </c>
      <c r="Q63" s="333"/>
      <c r="R63" s="334"/>
      <c r="U63" s="85"/>
    </row>
    <row r="64" spans="7:21">
      <c r="G64" s="98"/>
      <c r="H64" s="102" t="s">
        <v>577</v>
      </c>
      <c r="I64" s="103">
        <v>10</v>
      </c>
      <c r="J64" s="103">
        <v>1</v>
      </c>
      <c r="K64" s="103">
        <v>14</v>
      </c>
      <c r="L64" s="103">
        <v>0</v>
      </c>
      <c r="M64" s="103">
        <f>210+1500</f>
        <v>1710</v>
      </c>
      <c r="N64" s="105">
        <f t="shared" si="6"/>
        <v>1727</v>
      </c>
      <c r="O64" s="106">
        <f>L147</f>
        <v>3000</v>
      </c>
      <c r="P64" s="107">
        <f xml:space="preserve"> $I$1 * CEILING( 1* $O$64/ FLOOR(1* ( CEILING(($I$1 -20 - 4- 48- ($J$64 - 1) * 24 - 14) * (1 - $I$64/100), 1) - 4) / (MAX(1 * 3 + 4 + 2, ( 3 *1+ 1 * $K$64+ 3 * $L$64+ $M$64 )  )  + 2),1 ), 1 )/1024/1024</f>
        <v>5.859375</v>
      </c>
      <c r="Q64" s="333"/>
      <c r="R64" s="334"/>
      <c r="U64" s="85"/>
    </row>
    <row r="65" spans="7:21">
      <c r="G65" s="98"/>
      <c r="H65" s="102" t="s">
        <v>584</v>
      </c>
      <c r="I65" s="103">
        <v>10</v>
      </c>
      <c r="J65" s="103">
        <v>1</v>
      </c>
      <c r="K65" s="103">
        <v>65</v>
      </c>
      <c r="L65" s="103">
        <v>0</v>
      </c>
      <c r="M65" s="103">
        <f>30+256</f>
        <v>286</v>
      </c>
      <c r="N65" s="105">
        <f>3+1*K65+3*L65+M65</f>
        <v>354</v>
      </c>
      <c r="O65" s="106">
        <f>L148</f>
        <v>153000</v>
      </c>
      <c r="P65" s="107">
        <f>($I$1 * CEILING( 1* $O$65/ FLOOR(1* ( CEILING(($I$1 -20 - 4- 48- ($J$65 - 1) * 12 - 14) * (1 - $I$65/100), 1) - 4) / (MAX(1 * 3 + 4 + 2, ( 3 *1+ 1 * $K$65+ 3 * $L$65+ $M$65 )  )  + 2),1 ), 1 )/1024/1024)*0.8</f>
        <v>47.8125</v>
      </c>
      <c r="Q65" s="331" t="s">
        <v>587</v>
      </c>
      <c r="R65" s="332"/>
      <c r="U65" s="85"/>
    </row>
    <row r="66" spans="7:21">
      <c r="G66" s="98"/>
      <c r="H66" s="102" t="s">
        <v>585</v>
      </c>
      <c r="I66" s="103">
        <v>10</v>
      </c>
      <c r="J66" s="103">
        <v>1</v>
      </c>
      <c r="K66" s="103">
        <v>65</v>
      </c>
      <c r="L66" s="103">
        <v>0</v>
      </c>
      <c r="M66" s="103">
        <f>30+256</f>
        <v>286</v>
      </c>
      <c r="N66" s="105">
        <f>3+1*K66+3*L66+M66</f>
        <v>354</v>
      </c>
      <c r="O66" s="106">
        <f>L149</f>
        <v>5700</v>
      </c>
      <c r="P66" s="107">
        <f xml:space="preserve"> $I$1 * CEILING( 1* $O$66/ FLOOR(1* ( CEILING(($I$1 -20 - 4- 48- ($J$66 - 1) * 24 - 14) * (1 - $I$66/100), 1) - 4) / (MAX(1 * 3 + 4 + 2, ( 3 *1+ 1 * $K$66+ 3 * $L$66+ $M$66 )  )  + 2),1 ), 1 )/1024/1024</f>
        <v>2.2265625</v>
      </c>
      <c r="Q66" s="331" t="s">
        <v>586</v>
      </c>
      <c r="R66" s="332"/>
      <c r="U66" s="85"/>
    </row>
    <row r="67" spans="7:21">
      <c r="G67" s="98"/>
      <c r="H67" s="102" t="s">
        <v>590</v>
      </c>
      <c r="I67" s="103">
        <v>10</v>
      </c>
      <c r="J67" s="103">
        <v>1</v>
      </c>
      <c r="K67" s="103">
        <v>30</v>
      </c>
      <c r="L67" s="103">
        <v>0</v>
      </c>
      <c r="M67" s="103">
        <v>509</v>
      </c>
      <c r="N67" s="105">
        <f t="shared" ref="N67" si="7">3+1*K67+3*L67+M67</f>
        <v>542</v>
      </c>
      <c r="O67" s="106">
        <f>L150</f>
        <v>900</v>
      </c>
      <c r="P67" s="107">
        <f xml:space="preserve"> $I$1 * CEILING( 1* $O$67/ FLOOR(1* ( CEILING(($I$1 -20 - 4- 48- ($J$67 - 1) * 24 - 14) * (1 - $I$67/100), 1) - 4) / (MAX(1 * 3 + 4 + 2, ( 3 *1+ 1 * $K$67+ 3 * $L$67+ $M$67 )  )  + 2),1 ), 1 )/1024/1024</f>
        <v>0.546875</v>
      </c>
      <c r="Q67" s="333" t="s">
        <v>581</v>
      </c>
      <c r="R67" s="334"/>
      <c r="U67" s="85"/>
    </row>
    <row r="68" spans="7:21">
      <c r="G68" s="98"/>
      <c r="H68" s="102" t="s">
        <v>592</v>
      </c>
      <c r="I68" s="103">
        <v>10</v>
      </c>
      <c r="J68" s="103">
        <v>1</v>
      </c>
      <c r="K68" s="103">
        <v>94</v>
      </c>
      <c r="L68" s="103">
        <v>0</v>
      </c>
      <c r="M68" s="103">
        <v>587</v>
      </c>
      <c r="N68" s="105">
        <f t="shared" ref="N68" si="8">3+1*K68+3*L68+M68</f>
        <v>684</v>
      </c>
      <c r="O68" s="106">
        <f t="shared" ref="O68:O69" si="9">L151</f>
        <v>900</v>
      </c>
      <c r="P68" s="107">
        <f xml:space="preserve"> $I$1 * CEILING( 1* $O$68/ FLOOR(1* ( CEILING(($I$1 -20 - 4- 48- ($J$68 - 1) * 24 - 14) * (1 - $I$68/100), 1) - 4) / (MAX(1 * 3 + 4 + 2, ( 3 *1+ 1 * $K$68+ 3 * $L$68+ $M$68 )  )  + 2),1 ), 1 )/1024/1024</f>
        <v>0.703125</v>
      </c>
      <c r="Q68" s="333" t="s">
        <v>581</v>
      </c>
      <c r="R68" s="334"/>
      <c r="U68" s="85"/>
    </row>
    <row r="69" spans="7:21">
      <c r="G69" s="98"/>
      <c r="H69" s="102" t="s">
        <v>593</v>
      </c>
      <c r="I69" s="103">
        <v>10</v>
      </c>
      <c r="J69" s="103">
        <v>1</v>
      </c>
      <c r="K69" s="103">
        <v>22</v>
      </c>
      <c r="L69" s="103">
        <v>0</v>
      </c>
      <c r="M69" s="103">
        <v>701</v>
      </c>
      <c r="N69" s="105">
        <f t="shared" ref="N69" si="10">3+1*K69+3*L69+M69</f>
        <v>726</v>
      </c>
      <c r="O69" s="106">
        <f t="shared" si="9"/>
        <v>900</v>
      </c>
      <c r="P69" s="107">
        <f xml:space="preserve"> $I$1 * CEILING( 1* $O$69/ FLOOR(1* ( CEILING(($I$1 -20 - 4- 48- ($J$69 - 1) * 24 - 14) * (1 - $I$69/100), 1) - 4) / (MAX(1 * 3 + 4 + 2, ( 3 *1+ 1 * $K$69+ 3 * $L$69+ $M$69 )  )  + 2),1 ), 1 )/1024/1024</f>
        <v>0.703125</v>
      </c>
      <c r="Q69" s="333" t="s">
        <v>581</v>
      </c>
      <c r="R69" s="334"/>
      <c r="U69" s="85"/>
    </row>
    <row r="70" spans="7:21">
      <c r="G70" s="98"/>
      <c r="H70" s="131"/>
      <c r="I70" s="131"/>
      <c r="J70" s="131"/>
      <c r="K70" s="117">
        <f>AVERAGE(K5:K69)</f>
        <v>49.46153846153846</v>
      </c>
      <c r="L70" s="117">
        <f>AVERAGE(L5:L69)</f>
        <v>6.1538461538461542E-2</v>
      </c>
      <c r="M70" s="131"/>
      <c r="N70" s="125"/>
      <c r="O70" s="106">
        <f>SUM(O5:O68)</f>
        <v>14862106.5</v>
      </c>
      <c r="P70" s="107">
        <f>SUM(P5:P68)</f>
        <v>7706.65625</v>
      </c>
      <c r="U70" s="85"/>
    </row>
    <row r="71" spans="7:21">
      <c r="G71" s="98"/>
      <c r="H71" s="131"/>
      <c r="I71" s="131"/>
      <c r="J71" s="131"/>
      <c r="K71" s="131"/>
      <c r="L71" s="131"/>
      <c r="M71" s="131"/>
      <c r="N71" s="125"/>
      <c r="O71" s="132"/>
      <c r="P71" s="133"/>
      <c r="U71" s="85"/>
    </row>
    <row r="72" spans="7:21">
      <c r="G72" s="98"/>
      <c r="H72" s="134" t="s">
        <v>261</v>
      </c>
      <c r="I72" s="103">
        <v>10</v>
      </c>
      <c r="J72" s="103">
        <v>1</v>
      </c>
      <c r="K72" s="103">
        <v>14</v>
      </c>
      <c r="L72" s="103">
        <v>1</v>
      </c>
      <c r="M72" s="103">
        <f>30+(5+10+1+20+10+1+10+10+4+8+8+255+18+48+10)</f>
        <v>448</v>
      </c>
      <c r="N72" s="105">
        <f>3+1*K72+3*L72+M72</f>
        <v>468</v>
      </c>
      <c r="O72" s="106">
        <f>K153</f>
        <v>12269806.5</v>
      </c>
      <c r="P72" s="107">
        <f xml:space="preserve"> $I$1 * CEILING( 1* $O$72/ FLOOR(1* ( CEILING(($I$1 -20 - 4- 48- ($J$72 - 1) * 24 - 14) * (1 - $I$72/100), 1) - 4) / (MAX(1 * 3 + 4 + 2, ( 3 *1+ 1 * $K$72+ 3 * $L$72+ $M$72 )  )  + 2),1 ), 1 )/1024/1024</f>
        <v>6390.53125</v>
      </c>
      <c r="U72" s="85"/>
    </row>
    <row r="73" spans="7:21">
      <c r="G73" s="116"/>
      <c r="H73" s="134" t="s">
        <v>262</v>
      </c>
      <c r="I73" s="103">
        <v>10</v>
      </c>
      <c r="J73" s="103">
        <v>1</v>
      </c>
      <c r="K73" s="103">
        <f>K70</f>
        <v>49.46153846153846</v>
      </c>
      <c r="L73" s="103">
        <v>0</v>
      </c>
      <c r="M73" s="103">
        <f>N153/L153</f>
        <v>395.62969320810561</v>
      </c>
      <c r="N73" s="105">
        <f>3+1*K73+3*L73+M73</f>
        <v>448.09123166964406</v>
      </c>
      <c r="O73" s="106">
        <f>L153</f>
        <v>14855656.5</v>
      </c>
      <c r="P73" s="107">
        <f xml:space="preserve"> $I$1 * CEILING( 1* $O$73/ FLOOR(1* ( CEILING(($I$1 -20 - 4- 48- ($J$73 - 1) * 24 - 14) * (1 - $I$73/100), 1) - 4) / (MAX(1 * 3 + 4 + 2, ( 3 *1+ 1 * $K$73+ 3 * $L$73+ $M$73 )  )  + 2),1 ), 1 )/1024/1024</f>
        <v>7253.7421875</v>
      </c>
      <c r="R73" s="125"/>
      <c r="U73" s="85"/>
    </row>
    <row r="74" spans="7:21">
      <c r="G74" s="116"/>
      <c r="H74" s="131"/>
      <c r="I74" s="131"/>
      <c r="J74" s="131"/>
      <c r="K74" s="131"/>
      <c r="L74" s="131"/>
      <c r="M74" s="131"/>
      <c r="N74" s="324" t="s">
        <v>600</v>
      </c>
      <c r="O74" s="106">
        <f>SUM(O5:O69)+SUM(O72:O73)</f>
        <v>41988469.5</v>
      </c>
      <c r="P74" s="107">
        <f>SUM(P5:P69)+SUM(P72:P73)</f>
        <v>21351.6328125</v>
      </c>
      <c r="R74" s="125"/>
      <c r="U74" s="85"/>
    </row>
    <row r="75" spans="7:21">
      <c r="G75" s="116"/>
      <c r="U75" s="85"/>
    </row>
    <row r="76" spans="7:21">
      <c r="G76" s="116"/>
      <c r="H76" s="125"/>
      <c r="I76" s="125"/>
      <c r="J76" s="125"/>
      <c r="K76" s="137"/>
      <c r="L76" s="137"/>
      <c r="U76" s="85"/>
    </row>
    <row r="77" spans="7:21">
      <c r="G77" s="116"/>
      <c r="H77" s="138"/>
      <c r="I77" s="138"/>
      <c r="J77" s="138"/>
      <c r="K77" s="139"/>
      <c r="L77" s="140"/>
      <c r="U77" s="85"/>
    </row>
    <row r="78" spans="7:21">
      <c r="G78" s="116"/>
      <c r="H78" s="75"/>
      <c r="I78" s="75"/>
      <c r="J78" s="75"/>
      <c r="K78" s="75"/>
      <c r="U78" s="85"/>
    </row>
    <row r="79" spans="7:21">
      <c r="G79" s="116"/>
      <c r="H79" s="75"/>
      <c r="I79" s="75"/>
      <c r="J79" s="75"/>
      <c r="K79" s="75"/>
      <c r="U79" s="85"/>
    </row>
    <row r="80" spans="7:21">
      <c r="G80" s="116"/>
      <c r="H80" s="75"/>
      <c r="I80" s="75"/>
      <c r="J80" s="75"/>
      <c r="K80" s="75"/>
      <c r="U80" s="85"/>
    </row>
    <row r="81" spans="7:26">
      <c r="G81" s="116"/>
      <c r="H81" s="75"/>
      <c r="I81" s="75"/>
      <c r="J81" s="75"/>
      <c r="K81" s="75"/>
      <c r="U81" s="85"/>
    </row>
    <row r="82" spans="7:26">
      <c r="G82" s="116"/>
      <c r="H82" s="75"/>
      <c r="I82" s="75"/>
      <c r="J82" s="75"/>
      <c r="K82" s="75"/>
      <c r="U82" s="85"/>
    </row>
    <row r="83" spans="7:26">
      <c r="G83" s="116"/>
      <c r="H83" s="75"/>
      <c r="I83" s="75"/>
      <c r="J83" s="75"/>
      <c r="K83" s="75"/>
      <c r="U83" s="85"/>
    </row>
    <row r="84" spans="7:26">
      <c r="G84" s="116"/>
      <c r="H84" s="75"/>
      <c r="I84" s="75"/>
      <c r="J84" s="75"/>
      <c r="K84" s="75"/>
      <c r="U84" s="85"/>
    </row>
    <row r="85" spans="7:26">
      <c r="G85" s="98"/>
      <c r="U85" s="85"/>
    </row>
    <row r="86" spans="7:26">
      <c r="H86" s="98"/>
      <c r="I86" s="98"/>
      <c r="J86" s="98"/>
      <c r="K86" s="98"/>
      <c r="L86" s="98"/>
      <c r="M86" s="98"/>
      <c r="N86" s="98"/>
      <c r="O86" s="98"/>
      <c r="P86" s="98"/>
      <c r="Q86" s="144"/>
      <c r="R86" s="98"/>
      <c r="S86" s="125"/>
      <c r="U86" s="85"/>
    </row>
    <row r="87" spans="7:26">
      <c r="H87" s="98"/>
      <c r="I87" s="98"/>
      <c r="J87" s="98"/>
      <c r="K87" s="98"/>
      <c r="L87" s="98"/>
      <c r="M87" s="98"/>
      <c r="N87" s="98"/>
      <c r="O87" s="98"/>
      <c r="P87" s="98"/>
      <c r="Q87" s="144"/>
      <c r="R87" s="98"/>
      <c r="S87" s="125"/>
      <c r="U87" s="85"/>
    </row>
    <row r="88" spans="7:26" hidden="1">
      <c r="H88" s="297"/>
      <c r="I88" s="297"/>
      <c r="J88" s="298"/>
      <c r="K88" s="299" t="s">
        <v>113</v>
      </c>
      <c r="L88" s="299" t="s">
        <v>54</v>
      </c>
      <c r="M88" s="298"/>
      <c r="N88" s="298"/>
      <c r="O88" s="300" t="s">
        <v>110</v>
      </c>
      <c r="P88" s="301" t="s">
        <v>111</v>
      </c>
      <c r="Q88" s="302" t="s">
        <v>112</v>
      </c>
      <c r="R88" s="98"/>
      <c r="U88" s="85"/>
    </row>
    <row r="89" spans="7:26" hidden="1">
      <c r="H89" s="102" t="s">
        <v>118</v>
      </c>
      <c r="I89" s="151">
        <f>($D$7-$D$7*$D$8/100)*(12+$D$15+1+$D$16)*IF($D$5&gt;$D$26,$D$26,$D$5)</f>
        <v>153000</v>
      </c>
      <c r="J89" s="152">
        <f>O89+P89+Q89</f>
        <v>3</v>
      </c>
      <c r="K89" s="153">
        <f>I89*J89</f>
        <v>459000</v>
      </c>
      <c r="L89" s="153">
        <f>I89*(1+$D$99*P89)</f>
        <v>765000</v>
      </c>
      <c r="M89" s="153">
        <f t="shared" ref="M89:M129" si="11">M5</f>
        <v>1315</v>
      </c>
      <c r="N89" s="153">
        <f>L89*M89</f>
        <v>1005975000</v>
      </c>
      <c r="O89" s="148">
        <v>1</v>
      </c>
      <c r="P89" s="149">
        <v>2</v>
      </c>
      <c r="Q89" s="150"/>
      <c r="R89" s="98"/>
      <c r="T89" s="125"/>
      <c r="U89" s="85"/>
    </row>
    <row r="90" spans="7:26" hidden="1">
      <c r="H90" s="102" t="s">
        <v>84</v>
      </c>
      <c r="I90" s="151">
        <f>($D$7+$D$7*$D$8/100)*(12*$D$9+$D$15*$D$22+1*$D$21+$D$16*$D$21)*IF($D$5&gt;$D$26,$D$26,$D$5)</f>
        <v>4698000</v>
      </c>
      <c r="J90" s="152">
        <f t="shared" ref="J90:J111" si="12">O90+P90+Q90</f>
        <v>1</v>
      </c>
      <c r="K90" s="153">
        <f t="shared" ref="K90:K129" si="13">I90*J90</f>
        <v>4698000</v>
      </c>
      <c r="L90" s="153">
        <f t="shared" ref="L90:L129" si="14">I90*(1+$D$99*P90)</f>
        <v>4698000</v>
      </c>
      <c r="M90" s="153">
        <f t="shared" si="11"/>
        <v>310</v>
      </c>
      <c r="N90" s="153">
        <f>L90*M90</f>
        <v>1456380000</v>
      </c>
      <c r="O90" s="148">
        <v>1</v>
      </c>
      <c r="P90" s="149"/>
      <c r="Q90" s="150"/>
      <c r="R90" s="98"/>
      <c r="S90" s="98"/>
      <c r="T90" s="125"/>
    </row>
    <row r="91" spans="7:26" ht="13.5" hidden="1" customHeight="1">
      <c r="G91" s="98"/>
      <c r="H91" s="102" t="s">
        <v>223</v>
      </c>
      <c r="I91" s="151">
        <v>600</v>
      </c>
      <c r="J91" s="152">
        <f t="shared" si="12"/>
        <v>1</v>
      </c>
      <c r="K91" s="153">
        <f t="shared" si="13"/>
        <v>600</v>
      </c>
      <c r="L91" s="153">
        <f t="shared" si="14"/>
        <v>600</v>
      </c>
      <c r="M91" s="153">
        <f t="shared" si="11"/>
        <v>88</v>
      </c>
      <c r="N91" s="153">
        <f t="shared" ref="N91:N111" si="15">L91*M91</f>
        <v>52800</v>
      </c>
      <c r="O91" s="154">
        <v>1</v>
      </c>
      <c r="P91" s="155"/>
      <c r="Q91" s="156"/>
      <c r="R91" s="98"/>
      <c r="S91" s="98"/>
    </row>
    <row r="92" spans="7:26" ht="13.5" hidden="1" customHeight="1">
      <c r="G92" s="98"/>
      <c r="H92" s="102" t="s">
        <v>224</v>
      </c>
      <c r="I92" s="151">
        <f>$D$7</f>
        <v>3000</v>
      </c>
      <c r="J92" s="152">
        <f t="shared" si="12"/>
        <v>4</v>
      </c>
      <c r="K92" s="153">
        <f t="shared" si="13"/>
        <v>12000</v>
      </c>
      <c r="L92" s="153">
        <f t="shared" si="14"/>
        <v>3000</v>
      </c>
      <c r="M92" s="153">
        <f t="shared" si="11"/>
        <v>238</v>
      </c>
      <c r="N92" s="153">
        <f t="shared" si="15"/>
        <v>714000</v>
      </c>
      <c r="O92" s="157">
        <v>2</v>
      </c>
      <c r="P92" s="155"/>
      <c r="Q92" s="156">
        <v>2</v>
      </c>
      <c r="R92" s="98"/>
      <c r="S92" s="98"/>
      <c r="T92" s="98"/>
    </row>
    <row r="93" spans="7:26" ht="13.5" hidden="1" customHeight="1">
      <c r="G93" s="98"/>
      <c r="H93" s="102" t="s">
        <v>225</v>
      </c>
      <c r="I93" s="151">
        <f>3*$D$7*$D$9*0.1</f>
        <v>36900</v>
      </c>
      <c r="J93" s="152">
        <f t="shared" si="12"/>
        <v>4</v>
      </c>
      <c r="K93" s="153">
        <f t="shared" si="13"/>
        <v>147600</v>
      </c>
      <c r="L93" s="153">
        <f t="shared" si="14"/>
        <v>36900</v>
      </c>
      <c r="M93" s="153">
        <f t="shared" si="11"/>
        <v>414</v>
      </c>
      <c r="N93" s="153">
        <f t="shared" si="15"/>
        <v>15276600</v>
      </c>
      <c r="O93" s="157">
        <v>2</v>
      </c>
      <c r="P93" s="155"/>
      <c r="Q93" s="156">
        <v>2</v>
      </c>
      <c r="R93" s="98"/>
      <c r="S93" s="98"/>
      <c r="T93" s="98"/>
      <c r="U93" s="125"/>
    </row>
    <row r="94" spans="7:26" ht="13.5" hidden="1" customHeight="1">
      <c r="G94" s="98"/>
      <c r="H94" s="102" t="s">
        <v>226</v>
      </c>
      <c r="I94" s="151">
        <f>$D$14*1000</f>
        <v>5000</v>
      </c>
      <c r="J94" s="152">
        <f t="shared" si="12"/>
        <v>1</v>
      </c>
      <c r="K94" s="153">
        <f t="shared" si="13"/>
        <v>5000</v>
      </c>
      <c r="L94" s="153">
        <f t="shared" si="14"/>
        <v>5000</v>
      </c>
      <c r="M94" s="153">
        <f t="shared" si="11"/>
        <v>161</v>
      </c>
      <c r="N94" s="153">
        <f t="shared" si="15"/>
        <v>805000</v>
      </c>
      <c r="O94" s="157">
        <v>1</v>
      </c>
      <c r="P94" s="155"/>
      <c r="Q94" s="156"/>
      <c r="R94" s="98"/>
      <c r="S94" s="98"/>
      <c r="T94" s="98"/>
      <c r="U94" s="98"/>
      <c r="V94" s="98"/>
      <c r="W94" s="98"/>
      <c r="X94" s="98"/>
      <c r="Y94" s="98"/>
      <c r="Z94" s="98"/>
    </row>
    <row r="95" spans="7:26" ht="13.5" hidden="1" customHeight="1">
      <c r="G95" s="98"/>
      <c r="H95" s="102" t="s">
        <v>227</v>
      </c>
      <c r="I95" s="151">
        <f>D7*0.5</f>
        <v>1500</v>
      </c>
      <c r="J95" s="158">
        <f>O95+P95+Q95</f>
        <v>1</v>
      </c>
      <c r="K95" s="153">
        <f t="shared" si="13"/>
        <v>1500</v>
      </c>
      <c r="L95" s="153">
        <f t="shared" si="14"/>
        <v>1500</v>
      </c>
      <c r="M95" s="153">
        <f t="shared" si="11"/>
        <v>108</v>
      </c>
      <c r="N95" s="153">
        <f>L95*M95</f>
        <v>162000</v>
      </c>
      <c r="O95" s="157">
        <v>1</v>
      </c>
      <c r="P95" s="155"/>
      <c r="Q95" s="156"/>
      <c r="R95" s="98"/>
      <c r="S95" s="98"/>
      <c r="T95" s="98"/>
      <c r="U95" s="125"/>
    </row>
    <row r="96" spans="7:26" ht="13.5" hidden="1" customHeight="1">
      <c r="G96" s="98"/>
      <c r="H96" s="102" t="s">
        <v>228</v>
      </c>
      <c r="I96" s="151">
        <f>1000*20</f>
        <v>20000</v>
      </c>
      <c r="J96" s="152">
        <f t="shared" si="12"/>
        <v>1</v>
      </c>
      <c r="K96" s="153">
        <f t="shared" si="13"/>
        <v>20000</v>
      </c>
      <c r="L96" s="153">
        <f t="shared" si="14"/>
        <v>20000</v>
      </c>
      <c r="M96" s="153">
        <f t="shared" si="11"/>
        <v>824</v>
      </c>
      <c r="N96" s="153">
        <f t="shared" si="15"/>
        <v>16480000</v>
      </c>
      <c r="O96" s="157">
        <v>1</v>
      </c>
      <c r="P96" s="155"/>
      <c r="Q96" s="156"/>
      <c r="R96" s="98"/>
      <c r="S96" s="98"/>
      <c r="T96" s="98"/>
      <c r="U96" s="98"/>
      <c r="V96" s="98"/>
      <c r="W96" s="98"/>
      <c r="X96" s="98"/>
      <c r="Y96" s="98"/>
      <c r="Z96" s="98"/>
    </row>
    <row r="97" spans="3:32" ht="13.5" hidden="1" customHeight="1">
      <c r="G97" s="98"/>
      <c r="H97" s="102" t="s">
        <v>229</v>
      </c>
      <c r="I97" s="151">
        <f>$D$7+ROUNDUP($D$7*$D$8/100*$D$5,0)</f>
        <v>3000</v>
      </c>
      <c r="J97" s="152">
        <f t="shared" si="12"/>
        <v>1</v>
      </c>
      <c r="K97" s="153">
        <f t="shared" si="13"/>
        <v>3000</v>
      </c>
      <c r="L97" s="153">
        <f t="shared" si="14"/>
        <v>3000</v>
      </c>
      <c r="M97" s="153">
        <f t="shared" si="11"/>
        <v>821</v>
      </c>
      <c r="N97" s="153">
        <f t="shared" si="15"/>
        <v>2463000</v>
      </c>
      <c r="O97" s="148">
        <v>1</v>
      </c>
      <c r="P97" s="155"/>
      <c r="Q97" s="156"/>
      <c r="R97" s="98"/>
      <c r="S97" s="98"/>
      <c r="T97" s="98"/>
      <c r="U97" s="98"/>
      <c r="V97" s="98"/>
      <c r="W97" s="98"/>
      <c r="X97" s="98"/>
      <c r="Y97" s="98"/>
      <c r="Z97" s="98"/>
    </row>
    <row r="98" spans="3:32" ht="13.5" hidden="1" customHeight="1">
      <c r="C98" s="159" t="s">
        <v>32</v>
      </c>
      <c r="D98" s="160">
        <v>1</v>
      </c>
      <c r="G98" s="98"/>
      <c r="H98" s="102" t="s">
        <v>85</v>
      </c>
      <c r="I98" s="151">
        <f>$D$7+ROUNDUP($D$7*$D$8/100*$D$5,0)</f>
        <v>3000</v>
      </c>
      <c r="J98" s="152">
        <f t="shared" si="12"/>
        <v>80</v>
      </c>
      <c r="K98" s="153">
        <f t="shared" si="13"/>
        <v>240000</v>
      </c>
      <c r="L98" s="153">
        <f t="shared" si="14"/>
        <v>477000</v>
      </c>
      <c r="M98" s="153">
        <f t="shared" si="11"/>
        <v>2348</v>
      </c>
      <c r="N98" s="153">
        <f t="shared" si="15"/>
        <v>1119996000</v>
      </c>
      <c r="O98" s="148">
        <v>1</v>
      </c>
      <c r="P98" s="149">
        <f>1+(D5*12*2)+(2*2)+1+1</f>
        <v>79</v>
      </c>
      <c r="Q98" s="156"/>
      <c r="R98" s="98" t="s">
        <v>155</v>
      </c>
      <c r="S98" s="98"/>
      <c r="T98" s="98"/>
      <c r="U98" s="98"/>
      <c r="V98" s="98"/>
      <c r="W98" s="98"/>
      <c r="X98" s="98"/>
      <c r="Y98" s="98"/>
      <c r="Z98" s="98"/>
    </row>
    <row r="99" spans="3:32" ht="13.5" hidden="1" customHeight="1">
      <c r="C99" s="161" t="s">
        <v>33</v>
      </c>
      <c r="D99" s="160">
        <v>2</v>
      </c>
      <c r="G99" s="98"/>
      <c r="H99" s="102" t="s">
        <v>230</v>
      </c>
      <c r="I99" s="151">
        <f>$D$20*(IF($D$19=1,$D$18,1))</f>
        <v>1500</v>
      </c>
      <c r="J99" s="152">
        <f t="shared" si="12"/>
        <v>1</v>
      </c>
      <c r="K99" s="153">
        <f t="shared" si="13"/>
        <v>1500</v>
      </c>
      <c r="L99" s="153">
        <f t="shared" si="14"/>
        <v>1500</v>
      </c>
      <c r="M99" s="153">
        <f t="shared" si="11"/>
        <v>187</v>
      </c>
      <c r="N99" s="153">
        <f t="shared" si="15"/>
        <v>280500</v>
      </c>
      <c r="O99" s="148">
        <v>1</v>
      </c>
      <c r="P99" s="155"/>
      <c r="Q99" s="156"/>
      <c r="R99" s="98"/>
      <c r="S99" s="98"/>
      <c r="T99" s="98"/>
      <c r="U99" s="98"/>
      <c r="V99" s="98"/>
      <c r="W99" s="98"/>
      <c r="X99" s="98"/>
      <c r="Y99" s="98"/>
      <c r="Z99" s="98"/>
      <c r="AA99" s="98"/>
      <c r="AB99" s="98"/>
      <c r="AC99" s="98"/>
      <c r="AD99" s="98"/>
      <c r="AE99" s="98"/>
      <c r="AF99" s="98"/>
    </row>
    <row r="100" spans="3:32" s="98" customFormat="1" ht="12" hidden="1" customHeight="1">
      <c r="C100" s="161" t="s">
        <v>37</v>
      </c>
      <c r="D100" s="160">
        <v>1</v>
      </c>
      <c r="H100" s="102" t="s">
        <v>86</v>
      </c>
      <c r="I100" s="151">
        <f>($D$7+$D$7*$D$8/100)*$D$10*$D$5*12</f>
        <v>1080000</v>
      </c>
      <c r="J100" s="152">
        <f t="shared" si="12"/>
        <v>1</v>
      </c>
      <c r="K100" s="153">
        <f t="shared" si="13"/>
        <v>1080000</v>
      </c>
      <c r="L100" s="153">
        <f t="shared" si="14"/>
        <v>1080000</v>
      </c>
      <c r="M100" s="153">
        <f t="shared" si="11"/>
        <v>253</v>
      </c>
      <c r="N100" s="153">
        <f t="shared" si="15"/>
        <v>273240000</v>
      </c>
      <c r="O100" s="148">
        <v>1</v>
      </c>
      <c r="P100" s="149"/>
      <c r="Q100" s="150"/>
    </row>
    <row r="101" spans="3:32" s="98" customFormat="1" ht="12" hidden="1" customHeight="1">
      <c r="C101" s="159"/>
      <c r="D101" s="162"/>
      <c r="H101" s="102" t="s">
        <v>87</v>
      </c>
      <c r="I101" s="151">
        <f>$D$13*($D$7+ROUNDUP($D$7*$D$8/100*$D$5,0))</f>
        <v>30000</v>
      </c>
      <c r="J101" s="152">
        <f t="shared" si="12"/>
        <v>1</v>
      </c>
      <c r="K101" s="153">
        <f t="shared" si="13"/>
        <v>30000</v>
      </c>
      <c r="L101" s="153">
        <f t="shared" si="14"/>
        <v>30000</v>
      </c>
      <c r="M101" s="153">
        <f t="shared" si="11"/>
        <v>379</v>
      </c>
      <c r="N101" s="153">
        <f t="shared" si="15"/>
        <v>11370000</v>
      </c>
      <c r="O101" s="148">
        <v>1</v>
      </c>
      <c r="P101" s="155"/>
      <c r="Q101" s="156"/>
    </row>
    <row r="102" spans="3:32" s="98" customFormat="1" ht="12" hidden="1" customHeight="1">
      <c r="C102" s="161"/>
      <c r="D102" s="162"/>
      <c r="H102" s="102" t="s">
        <v>88</v>
      </c>
      <c r="I102" s="151">
        <f>($D$7+$D$7*$D$8/100)*$D$9/2*$D$5</f>
        <v>184500</v>
      </c>
      <c r="J102" s="152">
        <f t="shared" si="12"/>
        <v>3</v>
      </c>
      <c r="K102" s="153">
        <f t="shared" si="13"/>
        <v>553500</v>
      </c>
      <c r="L102" s="153">
        <f t="shared" si="14"/>
        <v>184500</v>
      </c>
      <c r="M102" s="153">
        <f t="shared" si="11"/>
        <v>108</v>
      </c>
      <c r="N102" s="153">
        <f t="shared" si="15"/>
        <v>19926000</v>
      </c>
      <c r="O102" s="148">
        <v>2</v>
      </c>
      <c r="P102" s="149"/>
      <c r="Q102" s="150">
        <v>1</v>
      </c>
    </row>
    <row r="103" spans="3:32" s="98" customFormat="1" ht="12" hidden="1" customHeight="1">
      <c r="C103" s="161"/>
      <c r="D103" s="162"/>
      <c r="H103" s="102" t="s">
        <v>233</v>
      </c>
      <c r="I103" s="151">
        <f>80+20*(IF($D$19=1,$D$18,1))</f>
        <v>680</v>
      </c>
      <c r="J103" s="152">
        <f t="shared" si="12"/>
        <v>1</v>
      </c>
      <c r="K103" s="153">
        <f t="shared" si="13"/>
        <v>680</v>
      </c>
      <c r="L103" s="153">
        <f t="shared" si="14"/>
        <v>680</v>
      </c>
      <c r="M103" s="153">
        <f t="shared" si="11"/>
        <v>379</v>
      </c>
      <c r="N103" s="153">
        <f t="shared" si="15"/>
        <v>257720</v>
      </c>
      <c r="O103" s="148">
        <v>1</v>
      </c>
      <c r="P103" s="155"/>
      <c r="Q103" s="156"/>
    </row>
    <row r="104" spans="3:32" s="98" customFormat="1" ht="12" hidden="1" customHeight="1">
      <c r="H104" s="102" t="s">
        <v>234</v>
      </c>
      <c r="I104" s="151">
        <f>($D$7+ROUNDUP($D$7*$D$8/100*$D$5,0))*3</f>
        <v>9000</v>
      </c>
      <c r="J104" s="152">
        <f t="shared" si="12"/>
        <v>1</v>
      </c>
      <c r="K104" s="153">
        <f t="shared" si="13"/>
        <v>9000</v>
      </c>
      <c r="L104" s="153">
        <f t="shared" si="14"/>
        <v>9000</v>
      </c>
      <c r="M104" s="153">
        <f t="shared" si="11"/>
        <v>530</v>
      </c>
      <c r="N104" s="153">
        <f t="shared" si="15"/>
        <v>4770000</v>
      </c>
      <c r="O104" s="148">
        <v>1</v>
      </c>
      <c r="P104" s="155"/>
      <c r="Q104" s="156"/>
    </row>
    <row r="105" spans="3:32" s="98" customFormat="1" ht="12" hidden="1" customHeight="1">
      <c r="H105" s="102" t="s">
        <v>235</v>
      </c>
      <c r="I105" s="151">
        <f>$D$7+ROUNDUP($D$7*$D$8/100*$D$5,0)</f>
        <v>3000</v>
      </c>
      <c r="J105" s="152">
        <f t="shared" si="12"/>
        <v>1</v>
      </c>
      <c r="K105" s="153">
        <f t="shared" si="13"/>
        <v>3000</v>
      </c>
      <c r="L105" s="153">
        <f t="shared" si="14"/>
        <v>3000</v>
      </c>
      <c r="M105" s="153">
        <f t="shared" si="11"/>
        <v>409</v>
      </c>
      <c r="N105" s="153">
        <f t="shared" si="15"/>
        <v>1227000</v>
      </c>
      <c r="O105" s="148">
        <v>1</v>
      </c>
      <c r="P105" s="155"/>
      <c r="Q105" s="156"/>
    </row>
    <row r="106" spans="3:32" s="98" customFormat="1" ht="12" hidden="1" customHeight="1">
      <c r="H106" s="102" t="s">
        <v>89</v>
      </c>
      <c r="I106" s="151">
        <f>$D$7*12</f>
        <v>36000</v>
      </c>
      <c r="J106" s="152">
        <f t="shared" si="12"/>
        <v>1.25</v>
      </c>
      <c r="K106" s="153">
        <f t="shared" si="13"/>
        <v>45000</v>
      </c>
      <c r="L106" s="153">
        <f t="shared" si="14"/>
        <v>54000</v>
      </c>
      <c r="M106" s="153">
        <f t="shared" si="11"/>
        <v>1191</v>
      </c>
      <c r="N106" s="153">
        <f t="shared" si="15"/>
        <v>64314000</v>
      </c>
      <c r="O106" s="148">
        <v>1</v>
      </c>
      <c r="P106" s="149">
        <v>0.25</v>
      </c>
      <c r="Q106" s="150"/>
    </row>
    <row r="107" spans="3:32" s="98" customFormat="1" ht="12" hidden="1" customHeight="1">
      <c r="H107" s="102" t="s">
        <v>237</v>
      </c>
      <c r="I107" s="151">
        <f>$D$7*$D$9*12</f>
        <v>1476000</v>
      </c>
      <c r="J107" s="152">
        <f>O107+P107+Q107</f>
        <v>1.1000000000000001</v>
      </c>
      <c r="K107" s="153">
        <f t="shared" si="13"/>
        <v>1623600.0000000002</v>
      </c>
      <c r="L107" s="153">
        <f t="shared" si="14"/>
        <v>1771200</v>
      </c>
      <c r="M107" s="153">
        <f t="shared" si="11"/>
        <v>279</v>
      </c>
      <c r="N107" s="153">
        <f t="shared" si="15"/>
        <v>494164800</v>
      </c>
      <c r="O107" s="148">
        <v>1</v>
      </c>
      <c r="P107" s="149">
        <v>0.1</v>
      </c>
      <c r="Q107" s="150"/>
    </row>
    <row r="108" spans="3:32" s="98" customFormat="1" ht="12" hidden="1" customHeight="1">
      <c r="H108" s="163" t="s">
        <v>90</v>
      </c>
      <c r="I108" s="151">
        <f>($D$7+ROUNDUP($D$7*$D$8/100*$D$5,0))*$D$9/2</f>
        <v>61500</v>
      </c>
      <c r="J108" s="152">
        <f t="shared" si="12"/>
        <v>37</v>
      </c>
      <c r="K108" s="153">
        <f t="shared" si="13"/>
        <v>2275500</v>
      </c>
      <c r="L108" s="153">
        <f t="shared" si="14"/>
        <v>4489500</v>
      </c>
      <c r="M108" s="153">
        <f t="shared" si="11"/>
        <v>175</v>
      </c>
      <c r="N108" s="153">
        <f>L108*M108</f>
        <v>785662500</v>
      </c>
      <c r="O108" s="148">
        <v>1</v>
      </c>
      <c r="P108" s="149">
        <f>D5*12</f>
        <v>36</v>
      </c>
      <c r="Q108" s="150"/>
      <c r="R108" s="98" t="s">
        <v>156</v>
      </c>
    </row>
    <row r="109" spans="3:32" s="98" customFormat="1" ht="12" hidden="1" customHeight="1">
      <c r="H109" s="102" t="s">
        <v>91</v>
      </c>
      <c r="I109" s="151">
        <f>$D$11*($D$7+ROUNDUP($D$7*$D$8/100*$D$5,0))</f>
        <v>6000</v>
      </c>
      <c r="J109" s="152">
        <f t="shared" si="12"/>
        <v>36</v>
      </c>
      <c r="K109" s="153">
        <f t="shared" si="13"/>
        <v>216000</v>
      </c>
      <c r="L109" s="153">
        <f t="shared" si="14"/>
        <v>426000</v>
      </c>
      <c r="M109" s="153">
        <f t="shared" si="11"/>
        <v>537</v>
      </c>
      <c r="N109" s="153">
        <f t="shared" si="15"/>
        <v>228762000</v>
      </c>
      <c r="O109" s="148">
        <v>1</v>
      </c>
      <c r="P109" s="148">
        <f>D5*12-1</f>
        <v>35</v>
      </c>
      <c r="Q109" s="156"/>
      <c r="R109" s="98" t="s">
        <v>157</v>
      </c>
    </row>
    <row r="110" spans="3:32" s="98" customFormat="1" ht="12" hidden="1" customHeight="1">
      <c r="H110" s="163" t="s">
        <v>56</v>
      </c>
      <c r="I110" s="151">
        <f>$D$7*9</f>
        <v>27000</v>
      </c>
      <c r="J110" s="152">
        <f t="shared" si="12"/>
        <v>2</v>
      </c>
      <c r="K110" s="153">
        <f t="shared" si="13"/>
        <v>54000</v>
      </c>
      <c r="L110" s="153">
        <f t="shared" si="14"/>
        <v>27000</v>
      </c>
      <c r="M110" s="153">
        <f t="shared" si="11"/>
        <v>106</v>
      </c>
      <c r="N110" s="153">
        <f t="shared" si="15"/>
        <v>2862000</v>
      </c>
      <c r="O110" s="148">
        <v>1</v>
      </c>
      <c r="P110" s="149"/>
      <c r="Q110" s="150">
        <v>1</v>
      </c>
    </row>
    <row r="111" spans="3:32" s="98" customFormat="1" ht="12" hidden="1" customHeight="1">
      <c r="H111" s="163" t="s">
        <v>92</v>
      </c>
      <c r="I111" s="151">
        <f>$D$7*2*$D$5</f>
        <v>18000</v>
      </c>
      <c r="J111" s="152">
        <f t="shared" si="12"/>
        <v>2</v>
      </c>
      <c r="K111" s="153">
        <f t="shared" si="13"/>
        <v>36000</v>
      </c>
      <c r="L111" s="153">
        <f t="shared" si="14"/>
        <v>54000</v>
      </c>
      <c r="M111" s="153">
        <f t="shared" si="11"/>
        <v>1634</v>
      </c>
      <c r="N111" s="153">
        <f t="shared" si="15"/>
        <v>88236000</v>
      </c>
      <c r="O111" s="148">
        <v>1</v>
      </c>
      <c r="P111" s="149">
        <v>1</v>
      </c>
      <c r="Q111" s="150"/>
    </row>
    <row r="112" spans="3:32" s="98" customFormat="1" ht="12" hidden="1" customHeight="1">
      <c r="H112" s="163" t="s">
        <v>258</v>
      </c>
      <c r="I112" s="151">
        <f>$D$7*0.3</f>
        <v>900</v>
      </c>
      <c r="J112" s="152">
        <f>O112+P112+Q112</f>
        <v>3</v>
      </c>
      <c r="K112" s="153">
        <f t="shared" si="13"/>
        <v>2700</v>
      </c>
      <c r="L112" s="153">
        <f t="shared" si="14"/>
        <v>2700</v>
      </c>
      <c r="M112" s="153">
        <f t="shared" si="11"/>
        <v>115</v>
      </c>
      <c r="N112" s="153">
        <f>L112*M112</f>
        <v>310500</v>
      </c>
      <c r="O112" s="148">
        <v>1</v>
      </c>
      <c r="P112" s="149">
        <v>1</v>
      </c>
      <c r="Q112" s="150">
        <v>1</v>
      </c>
    </row>
    <row r="113" spans="7:25" s="98" customFormat="1" ht="12" hidden="1">
      <c r="H113" s="163" t="s">
        <v>527</v>
      </c>
      <c r="I113" s="151">
        <f>$D$11*($D$7+ROUNDUP($D$7*$D$8/100*$D$5,0))</f>
        <v>6000</v>
      </c>
      <c r="J113" s="152">
        <f>O113+P113+Q113</f>
        <v>3</v>
      </c>
      <c r="K113" s="153">
        <f t="shared" si="13"/>
        <v>18000</v>
      </c>
      <c r="L113" s="153">
        <f t="shared" si="14"/>
        <v>18000</v>
      </c>
      <c r="M113" s="153">
        <f t="shared" si="11"/>
        <v>118</v>
      </c>
      <c r="N113" s="153">
        <f>L113*M113</f>
        <v>2124000</v>
      </c>
      <c r="O113" s="148">
        <v>1</v>
      </c>
      <c r="P113" s="149">
        <v>1</v>
      </c>
      <c r="Q113" s="150">
        <v>1</v>
      </c>
    </row>
    <row r="114" spans="7:25" s="98" customFormat="1" ht="12" hidden="1" customHeight="1">
      <c r="H114" s="163" t="s">
        <v>93</v>
      </c>
      <c r="I114" s="151">
        <f>$D$7*$D$21+(I109*0.5)</f>
        <v>9000</v>
      </c>
      <c r="J114" s="152">
        <f t="shared" ref="J114:J125" si="16">O114+P114+Q114</f>
        <v>1</v>
      </c>
      <c r="K114" s="153">
        <f t="shared" si="13"/>
        <v>9000</v>
      </c>
      <c r="L114" s="153">
        <f t="shared" si="14"/>
        <v>9000</v>
      </c>
      <c r="M114" s="153">
        <f t="shared" si="11"/>
        <v>93</v>
      </c>
      <c r="N114" s="153">
        <f t="shared" ref="N114:N125" si="17">L114*M114</f>
        <v>837000</v>
      </c>
      <c r="O114" s="148">
        <v>1</v>
      </c>
      <c r="P114" s="149"/>
      <c r="Q114" s="150"/>
      <c r="R114" s="75"/>
    </row>
    <row r="115" spans="7:25" s="98" customFormat="1" ht="12" hidden="1" customHeight="1">
      <c r="H115" s="102" t="s">
        <v>263</v>
      </c>
      <c r="I115" s="151">
        <v>1000</v>
      </c>
      <c r="J115" s="152">
        <f t="shared" si="16"/>
        <v>1</v>
      </c>
      <c r="K115" s="153">
        <f t="shared" si="13"/>
        <v>1000</v>
      </c>
      <c r="L115" s="153">
        <f t="shared" si="14"/>
        <v>1000</v>
      </c>
      <c r="M115" s="153">
        <f t="shared" si="11"/>
        <v>99</v>
      </c>
      <c r="N115" s="153">
        <f t="shared" si="17"/>
        <v>99000</v>
      </c>
      <c r="O115" s="148">
        <v>1</v>
      </c>
      <c r="P115" s="155"/>
      <c r="Q115" s="156"/>
      <c r="R115" s="75"/>
    </row>
    <row r="116" spans="7:25" s="98" customFormat="1" ht="13.5" hidden="1" customHeight="1">
      <c r="H116" s="163" t="s">
        <v>95</v>
      </c>
      <c r="I116" s="151">
        <f>$D$7*$D$16</f>
        <v>6000</v>
      </c>
      <c r="J116" s="152">
        <f t="shared" si="16"/>
        <v>2</v>
      </c>
      <c r="K116" s="153">
        <f t="shared" si="13"/>
        <v>12000</v>
      </c>
      <c r="L116" s="153">
        <f t="shared" si="14"/>
        <v>6000</v>
      </c>
      <c r="M116" s="153">
        <f t="shared" si="11"/>
        <v>596</v>
      </c>
      <c r="N116" s="153">
        <f t="shared" si="17"/>
        <v>3576000</v>
      </c>
      <c r="O116" s="148">
        <v>1</v>
      </c>
      <c r="P116" s="149"/>
      <c r="Q116" s="150">
        <v>1</v>
      </c>
      <c r="R116" s="75"/>
    </row>
    <row r="117" spans="7:25" s="98" customFormat="1" ht="13.5" hidden="1" customHeight="1">
      <c r="H117" s="163" t="s">
        <v>96</v>
      </c>
      <c r="I117" s="151">
        <f>$D$7*$D$16*$D$21</f>
        <v>12000</v>
      </c>
      <c r="J117" s="152">
        <f t="shared" si="16"/>
        <v>2</v>
      </c>
      <c r="K117" s="153">
        <f t="shared" si="13"/>
        <v>24000</v>
      </c>
      <c r="L117" s="153">
        <f t="shared" si="14"/>
        <v>12000</v>
      </c>
      <c r="M117" s="153">
        <f t="shared" si="11"/>
        <v>279</v>
      </c>
      <c r="N117" s="153">
        <f t="shared" si="17"/>
        <v>3348000</v>
      </c>
      <c r="O117" s="148">
        <v>1</v>
      </c>
      <c r="P117" s="149"/>
      <c r="Q117" s="150">
        <v>1</v>
      </c>
      <c r="R117" s="75"/>
      <c r="S117" s="75"/>
    </row>
    <row r="118" spans="7:25" s="98" customFormat="1" ht="13.5" hidden="1" customHeight="1">
      <c r="G118" s="164"/>
      <c r="H118" s="102" t="s">
        <v>97</v>
      </c>
      <c r="I118" s="151">
        <f>$D$7*$D$21*1.5</f>
        <v>9000</v>
      </c>
      <c r="J118" s="152">
        <f t="shared" si="16"/>
        <v>2</v>
      </c>
      <c r="K118" s="153">
        <f t="shared" si="13"/>
        <v>18000</v>
      </c>
      <c r="L118" s="153">
        <f t="shared" si="14"/>
        <v>9000</v>
      </c>
      <c r="M118" s="153">
        <f t="shared" si="11"/>
        <v>230</v>
      </c>
      <c r="N118" s="153">
        <f t="shared" si="17"/>
        <v>2070000</v>
      </c>
      <c r="O118" s="148">
        <v>1</v>
      </c>
      <c r="P118" s="149"/>
      <c r="Q118" s="150">
        <v>1</v>
      </c>
      <c r="R118" s="75"/>
      <c r="S118" s="75"/>
    </row>
    <row r="119" spans="7:25" s="98" customFormat="1" ht="13.5" hidden="1" customHeight="1">
      <c r="G119" s="164"/>
      <c r="H119" s="102" t="s">
        <v>264</v>
      </c>
      <c r="I119" s="151">
        <f>($D$7+ROUNDUP($D$7*$D$8/100*$D$5,0))*(4+$D$12)</f>
        <v>15000</v>
      </c>
      <c r="J119" s="152">
        <f t="shared" si="16"/>
        <v>1</v>
      </c>
      <c r="K119" s="153">
        <f t="shared" si="13"/>
        <v>15000</v>
      </c>
      <c r="L119" s="153">
        <f t="shared" si="14"/>
        <v>15000</v>
      </c>
      <c r="M119" s="153">
        <f t="shared" si="11"/>
        <v>367</v>
      </c>
      <c r="N119" s="153">
        <f t="shared" si="17"/>
        <v>5505000</v>
      </c>
      <c r="O119" s="148">
        <v>1</v>
      </c>
      <c r="P119" s="155"/>
      <c r="Q119" s="156"/>
      <c r="R119" s="75"/>
    </row>
    <row r="120" spans="7:25" s="98" customFormat="1" ht="13.5" hidden="1" customHeight="1">
      <c r="G120" s="164"/>
      <c r="H120" s="102" t="s">
        <v>99</v>
      </c>
      <c r="I120" s="151">
        <f>$D$7*I9</f>
        <v>30000</v>
      </c>
      <c r="J120" s="152">
        <f t="shared" si="16"/>
        <v>1</v>
      </c>
      <c r="K120" s="153">
        <f t="shared" si="13"/>
        <v>30000</v>
      </c>
      <c r="L120" s="153">
        <f t="shared" si="14"/>
        <v>30000</v>
      </c>
      <c r="M120" s="153">
        <f t="shared" si="11"/>
        <v>614</v>
      </c>
      <c r="N120" s="153">
        <f t="shared" si="17"/>
        <v>18420000</v>
      </c>
      <c r="O120" s="148">
        <v>1</v>
      </c>
      <c r="P120" s="149"/>
      <c r="Q120" s="150"/>
      <c r="R120" s="75"/>
      <c r="S120" s="75"/>
    </row>
    <row r="121" spans="7:25" s="98" customFormat="1" ht="13.5" hidden="1" customHeight="1">
      <c r="G121" s="164"/>
      <c r="H121" s="102" t="s">
        <v>100</v>
      </c>
      <c r="I121" s="151">
        <f>$D$7*$D$22*I9</f>
        <v>360000</v>
      </c>
      <c r="J121" s="152">
        <f t="shared" si="16"/>
        <v>1</v>
      </c>
      <c r="K121" s="153">
        <f t="shared" si="13"/>
        <v>360000</v>
      </c>
      <c r="L121" s="153">
        <f t="shared" si="14"/>
        <v>360000</v>
      </c>
      <c r="M121" s="153">
        <f t="shared" si="11"/>
        <v>251</v>
      </c>
      <c r="N121" s="153">
        <f t="shared" si="17"/>
        <v>90360000</v>
      </c>
      <c r="O121" s="148">
        <v>1</v>
      </c>
      <c r="P121" s="149"/>
      <c r="Q121" s="150"/>
      <c r="R121" s="75"/>
      <c r="S121" s="75"/>
      <c r="T121" s="75"/>
    </row>
    <row r="122" spans="7:25" s="98" customFormat="1" ht="13.5" hidden="1" customHeight="1">
      <c r="G122" s="164"/>
      <c r="H122" s="102" t="s">
        <v>265</v>
      </c>
      <c r="I122" s="151">
        <f>$D$7*3</f>
        <v>9000</v>
      </c>
      <c r="J122" s="152">
        <f t="shared" si="16"/>
        <v>2</v>
      </c>
      <c r="K122" s="153">
        <f t="shared" si="13"/>
        <v>18000</v>
      </c>
      <c r="L122" s="153">
        <f t="shared" si="14"/>
        <v>9000</v>
      </c>
      <c r="M122" s="153">
        <f t="shared" si="11"/>
        <v>801</v>
      </c>
      <c r="N122" s="153">
        <f t="shared" si="17"/>
        <v>7209000</v>
      </c>
      <c r="O122" s="148">
        <v>1</v>
      </c>
      <c r="P122" s="155"/>
      <c r="Q122" s="156">
        <v>1</v>
      </c>
      <c r="R122" s="75"/>
      <c r="S122" s="75"/>
      <c r="T122" s="75"/>
    </row>
    <row r="123" spans="7:25" s="98" customFormat="1" ht="13.5" hidden="1" customHeight="1">
      <c r="G123" s="164"/>
      <c r="H123" s="102" t="s">
        <v>266</v>
      </c>
      <c r="I123" s="151">
        <v>446</v>
      </c>
      <c r="J123" s="152">
        <f t="shared" si="16"/>
        <v>1</v>
      </c>
      <c r="K123" s="153">
        <f t="shared" si="13"/>
        <v>446</v>
      </c>
      <c r="L123" s="153">
        <f t="shared" si="14"/>
        <v>446</v>
      </c>
      <c r="M123" s="153">
        <f t="shared" si="11"/>
        <v>134</v>
      </c>
      <c r="N123" s="153">
        <f t="shared" si="17"/>
        <v>59764</v>
      </c>
      <c r="O123" s="148">
        <v>1</v>
      </c>
      <c r="P123" s="155"/>
      <c r="Q123" s="156"/>
      <c r="R123" s="75"/>
      <c r="S123" s="75"/>
      <c r="T123" s="75"/>
      <c r="U123" s="75"/>
      <c r="V123" s="75"/>
      <c r="W123" s="75"/>
      <c r="X123" s="75"/>
      <c r="Y123" s="75"/>
    </row>
    <row r="124" spans="7:25" s="98" customFormat="1" ht="13.5" hidden="1" customHeight="1">
      <c r="G124" s="164"/>
      <c r="H124" s="102" t="s">
        <v>103</v>
      </c>
      <c r="I124" s="151">
        <f>$D$7*$D$22*0.2</f>
        <v>7200</v>
      </c>
      <c r="J124" s="152">
        <f t="shared" si="16"/>
        <v>2</v>
      </c>
      <c r="K124" s="153">
        <f t="shared" si="13"/>
        <v>14400</v>
      </c>
      <c r="L124" s="153">
        <f t="shared" si="14"/>
        <v>7200</v>
      </c>
      <c r="M124" s="153">
        <f t="shared" si="11"/>
        <v>202</v>
      </c>
      <c r="N124" s="153">
        <f t="shared" si="17"/>
        <v>1454400</v>
      </c>
      <c r="O124" s="148">
        <v>1</v>
      </c>
      <c r="P124" s="149"/>
      <c r="Q124" s="150">
        <v>1</v>
      </c>
      <c r="R124" s="75"/>
      <c r="S124" s="75"/>
      <c r="T124" s="75"/>
    </row>
    <row r="125" spans="7:25" s="98" customFormat="1" ht="13.5" hidden="1" customHeight="1">
      <c r="G125" s="164"/>
      <c r="H125" s="102" t="s">
        <v>267</v>
      </c>
      <c r="I125" s="151">
        <v>507</v>
      </c>
      <c r="J125" s="152">
        <f t="shared" si="16"/>
        <v>1</v>
      </c>
      <c r="K125" s="153">
        <f t="shared" si="13"/>
        <v>507</v>
      </c>
      <c r="L125" s="153">
        <f t="shared" si="14"/>
        <v>507</v>
      </c>
      <c r="M125" s="153">
        <f t="shared" si="11"/>
        <v>202</v>
      </c>
      <c r="N125" s="153">
        <f t="shared" si="17"/>
        <v>102414</v>
      </c>
      <c r="O125" s="148">
        <v>1</v>
      </c>
      <c r="P125" s="155"/>
      <c r="Q125" s="156"/>
      <c r="R125" s="75"/>
      <c r="S125" s="75"/>
      <c r="T125" s="75"/>
      <c r="U125" s="75"/>
      <c r="V125" s="75"/>
      <c r="W125" s="75"/>
      <c r="X125" s="75"/>
      <c r="Y125" s="75"/>
    </row>
    <row r="126" spans="7:25" s="98" customFormat="1" ht="13.5" hidden="1" customHeight="1">
      <c r="G126" s="164"/>
      <c r="H126" s="102" t="s">
        <v>268</v>
      </c>
      <c r="I126" s="151">
        <f>$D$5*1</f>
        <v>3</v>
      </c>
      <c r="J126" s="152">
        <f t="shared" ref="J126:J138" si="18">O126+P126+Q126</f>
        <v>1</v>
      </c>
      <c r="K126" s="153">
        <f t="shared" si="13"/>
        <v>3</v>
      </c>
      <c r="L126" s="153">
        <f t="shared" si="14"/>
        <v>3</v>
      </c>
      <c r="M126" s="153">
        <f t="shared" si="11"/>
        <v>84</v>
      </c>
      <c r="N126" s="153">
        <f t="shared" ref="N126:N136" si="19">L126*M126</f>
        <v>252</v>
      </c>
      <c r="O126" s="148">
        <v>1</v>
      </c>
      <c r="P126" s="155"/>
      <c r="Q126" s="156"/>
      <c r="R126" s="75"/>
      <c r="S126" s="75"/>
      <c r="T126" s="75"/>
      <c r="U126" s="75"/>
      <c r="V126" s="75"/>
      <c r="W126" s="75"/>
      <c r="X126" s="75"/>
      <c r="Y126" s="75"/>
    </row>
    <row r="127" spans="7:25" s="98" customFormat="1" ht="13.5" hidden="1" customHeight="1">
      <c r="G127" s="164"/>
      <c r="H127" s="102" t="s">
        <v>269</v>
      </c>
      <c r="I127" s="151">
        <v>3</v>
      </c>
      <c r="J127" s="152">
        <f t="shared" si="18"/>
        <v>1</v>
      </c>
      <c r="K127" s="153">
        <f t="shared" si="13"/>
        <v>3</v>
      </c>
      <c r="L127" s="153">
        <f t="shared" si="14"/>
        <v>3</v>
      </c>
      <c r="M127" s="153">
        <f t="shared" si="11"/>
        <v>91</v>
      </c>
      <c r="N127" s="153">
        <f t="shared" si="19"/>
        <v>273</v>
      </c>
      <c r="O127" s="148">
        <v>1</v>
      </c>
      <c r="P127" s="155"/>
      <c r="Q127" s="156"/>
      <c r="R127" s="75"/>
      <c r="S127" s="75"/>
      <c r="T127" s="75"/>
      <c r="U127" s="75"/>
      <c r="V127" s="75"/>
      <c r="W127" s="75"/>
      <c r="X127" s="75"/>
      <c r="Y127" s="75"/>
    </row>
    <row r="128" spans="7:25" s="98" customFormat="1" ht="13.5" hidden="1" customHeight="1">
      <c r="G128" s="164"/>
      <c r="H128" s="102" t="s">
        <v>270</v>
      </c>
      <c r="I128" s="151">
        <f>$D$9*0.5*3</f>
        <v>61.5</v>
      </c>
      <c r="J128" s="152">
        <f t="shared" si="18"/>
        <v>1</v>
      </c>
      <c r="K128" s="153">
        <f t="shared" si="13"/>
        <v>61.5</v>
      </c>
      <c r="L128" s="153">
        <f t="shared" si="14"/>
        <v>61.5</v>
      </c>
      <c r="M128" s="153">
        <f t="shared" si="11"/>
        <v>107</v>
      </c>
      <c r="N128" s="153">
        <f t="shared" si="19"/>
        <v>6580.5</v>
      </c>
      <c r="O128" s="148">
        <v>1</v>
      </c>
      <c r="P128" s="155"/>
      <c r="Q128" s="156"/>
      <c r="R128" s="75"/>
      <c r="S128" s="75"/>
      <c r="T128" s="75"/>
      <c r="U128" s="75"/>
      <c r="V128" s="75"/>
      <c r="W128" s="75"/>
      <c r="X128" s="75"/>
      <c r="Y128" s="75"/>
    </row>
    <row r="129" spans="7:26" s="98" customFormat="1" ht="13.5" hidden="1" customHeight="1">
      <c r="G129" s="164"/>
      <c r="H129" s="102" t="s">
        <v>271</v>
      </c>
      <c r="I129" s="151">
        <f>201*3*2</f>
        <v>1206</v>
      </c>
      <c r="J129" s="152">
        <f t="shared" si="18"/>
        <v>1</v>
      </c>
      <c r="K129" s="153">
        <f t="shared" si="13"/>
        <v>1206</v>
      </c>
      <c r="L129" s="153">
        <f t="shared" si="14"/>
        <v>1206</v>
      </c>
      <c r="M129" s="153">
        <f t="shared" si="11"/>
        <v>145</v>
      </c>
      <c r="N129" s="153">
        <f t="shared" si="19"/>
        <v>174870</v>
      </c>
      <c r="O129" s="148">
        <v>1</v>
      </c>
      <c r="P129" s="155"/>
      <c r="Q129" s="156"/>
      <c r="R129" s="75"/>
      <c r="S129" s="75"/>
      <c r="T129" s="75"/>
      <c r="U129" s="75"/>
      <c r="V129" s="75"/>
      <c r="W129" s="75"/>
      <c r="X129" s="75"/>
      <c r="Y129" s="75"/>
      <c r="Z129" s="75"/>
    </row>
    <row r="130" spans="7:26" s="98" customFormat="1" ht="13.5" hidden="1" customHeight="1">
      <c r="G130" s="164"/>
      <c r="H130" s="102" t="s">
        <v>553</v>
      </c>
      <c r="I130" s="151">
        <f>$D$7*0.1*$D$5</f>
        <v>900</v>
      </c>
      <c r="J130" s="152">
        <f t="shared" si="18"/>
        <v>13</v>
      </c>
      <c r="K130" s="153">
        <f>I130*J130</f>
        <v>11700</v>
      </c>
      <c r="L130" s="153">
        <f t="shared" ref="L130:L147" si="20">I130*(1+$D$99*P130)</f>
        <v>11700</v>
      </c>
      <c r="M130" s="153">
        <f t="shared" ref="M130:M152" si="21">M47</f>
        <v>1117</v>
      </c>
      <c r="N130" s="153">
        <f>L130*M130</f>
        <v>13068900</v>
      </c>
      <c r="O130" s="148">
        <v>7</v>
      </c>
      <c r="P130" s="155">
        <v>6</v>
      </c>
      <c r="Q130" s="156"/>
      <c r="R130" s="75"/>
      <c r="S130" s="75"/>
      <c r="T130" s="75"/>
      <c r="U130" s="75"/>
      <c r="V130" s="75"/>
      <c r="W130" s="75"/>
      <c r="X130" s="75"/>
      <c r="Y130" s="75"/>
      <c r="Z130" s="75"/>
    </row>
    <row r="131" spans="7:26" s="98" customFormat="1" ht="13.5" hidden="1" customHeight="1">
      <c r="G131" s="164"/>
      <c r="H131" s="102" t="s">
        <v>556</v>
      </c>
      <c r="I131" s="151">
        <f>$D$7*0.1*$D$5</f>
        <v>900</v>
      </c>
      <c r="J131" s="152">
        <f t="shared" si="18"/>
        <v>13</v>
      </c>
      <c r="K131" s="153">
        <f t="shared" ref="K131:K136" si="22">I131*J131</f>
        <v>11700</v>
      </c>
      <c r="L131" s="153">
        <f t="shared" si="20"/>
        <v>11700</v>
      </c>
      <c r="M131" s="153">
        <f t="shared" si="21"/>
        <v>635</v>
      </c>
      <c r="N131" s="153">
        <f t="shared" si="19"/>
        <v>7429500</v>
      </c>
      <c r="O131" s="148">
        <v>7</v>
      </c>
      <c r="P131" s="155">
        <v>6</v>
      </c>
      <c r="Q131" s="156"/>
      <c r="R131" s="75"/>
      <c r="S131" s="75"/>
      <c r="T131" s="75"/>
      <c r="U131" s="75"/>
      <c r="V131" s="75"/>
      <c r="W131" s="75"/>
      <c r="X131" s="75"/>
      <c r="Y131" s="75"/>
      <c r="Z131" s="75"/>
    </row>
    <row r="132" spans="7:26" s="98" customFormat="1" ht="13.5" hidden="1" customHeight="1">
      <c r="G132" s="164"/>
      <c r="H132" s="102" t="s">
        <v>557</v>
      </c>
      <c r="I132" s="151">
        <f>$D$7*0.1*$D$5</f>
        <v>900</v>
      </c>
      <c r="J132" s="152">
        <f t="shared" si="18"/>
        <v>4</v>
      </c>
      <c r="K132" s="153">
        <f t="shared" si="22"/>
        <v>3600</v>
      </c>
      <c r="L132" s="153">
        <f t="shared" si="20"/>
        <v>4500</v>
      </c>
      <c r="M132" s="153">
        <f t="shared" si="21"/>
        <v>1968</v>
      </c>
      <c r="N132" s="153">
        <f t="shared" si="19"/>
        <v>8856000</v>
      </c>
      <c r="O132" s="148">
        <v>2</v>
      </c>
      <c r="P132" s="155">
        <v>2</v>
      </c>
      <c r="Q132" s="156"/>
      <c r="R132" s="75"/>
      <c r="S132" s="75"/>
      <c r="T132" s="75"/>
      <c r="U132" s="75"/>
      <c r="V132" s="75"/>
      <c r="W132" s="75"/>
      <c r="X132" s="75"/>
      <c r="Y132" s="75"/>
      <c r="Z132" s="75"/>
    </row>
    <row r="133" spans="7:26" s="98" customFormat="1" ht="13.5" hidden="1" customHeight="1">
      <c r="G133" s="164"/>
      <c r="H133" s="102" t="s">
        <v>558</v>
      </c>
      <c r="I133" s="151">
        <f>$D$7*0.1*$D$5</f>
        <v>900</v>
      </c>
      <c r="J133" s="152">
        <f t="shared" si="18"/>
        <v>2</v>
      </c>
      <c r="K133" s="153">
        <f t="shared" si="22"/>
        <v>1800</v>
      </c>
      <c r="L133" s="153">
        <f t="shared" si="20"/>
        <v>2700</v>
      </c>
      <c r="M133" s="153">
        <f t="shared" si="21"/>
        <v>1111</v>
      </c>
      <c r="N133" s="153">
        <f t="shared" si="19"/>
        <v>2999700</v>
      </c>
      <c r="O133" s="148">
        <v>1</v>
      </c>
      <c r="P133" s="155">
        <v>1</v>
      </c>
      <c r="Q133" s="156"/>
      <c r="R133" s="75"/>
      <c r="S133" s="75"/>
      <c r="T133" s="75"/>
      <c r="U133" s="75"/>
      <c r="V133" s="75"/>
      <c r="W133" s="75"/>
      <c r="X133" s="75"/>
      <c r="Y133" s="75"/>
      <c r="Z133" s="75"/>
    </row>
    <row r="134" spans="7:26" s="98" customFormat="1" ht="13.5" hidden="1" customHeight="1">
      <c r="G134" s="164"/>
      <c r="H134" s="102" t="s">
        <v>559</v>
      </c>
      <c r="I134" s="151">
        <f>$D$7*0.1*$D$5</f>
        <v>900</v>
      </c>
      <c r="J134" s="152">
        <f t="shared" si="18"/>
        <v>2</v>
      </c>
      <c r="K134" s="153">
        <f t="shared" si="22"/>
        <v>1800</v>
      </c>
      <c r="L134" s="153">
        <f t="shared" si="20"/>
        <v>2700</v>
      </c>
      <c r="M134" s="153">
        <f t="shared" si="21"/>
        <v>635</v>
      </c>
      <c r="N134" s="153">
        <f t="shared" si="19"/>
        <v>1714500</v>
      </c>
      <c r="O134" s="148">
        <v>1</v>
      </c>
      <c r="P134" s="155">
        <v>1</v>
      </c>
      <c r="Q134" s="156"/>
      <c r="R134" s="75"/>
      <c r="S134" s="75"/>
      <c r="T134" s="75"/>
      <c r="U134" s="75"/>
      <c r="V134" s="75"/>
      <c r="W134" s="75"/>
      <c r="X134" s="75"/>
      <c r="Y134" s="75"/>
      <c r="Z134" s="75"/>
    </row>
    <row r="135" spans="7:26" s="98" customFormat="1" ht="13.5" hidden="1" customHeight="1">
      <c r="G135" s="164"/>
      <c r="H135" s="102" t="s">
        <v>563</v>
      </c>
      <c r="I135" s="151">
        <f>$D$7*0.05*$D$5</f>
        <v>450</v>
      </c>
      <c r="J135" s="152">
        <f t="shared" si="18"/>
        <v>13</v>
      </c>
      <c r="K135" s="153">
        <f>I135*J135</f>
        <v>5850</v>
      </c>
      <c r="L135" s="153">
        <f t="shared" si="20"/>
        <v>5850</v>
      </c>
      <c r="M135" s="153">
        <f t="shared" si="21"/>
        <v>1058</v>
      </c>
      <c r="N135" s="153">
        <f t="shared" si="19"/>
        <v>6189300</v>
      </c>
      <c r="O135" s="148">
        <v>7</v>
      </c>
      <c r="P135" s="155">
        <v>6</v>
      </c>
      <c r="Q135" s="156"/>
      <c r="R135" s="75"/>
      <c r="S135" s="75"/>
      <c r="T135" s="75"/>
      <c r="U135" s="75"/>
      <c r="V135" s="75"/>
      <c r="W135" s="75"/>
      <c r="X135" s="75"/>
      <c r="Y135" s="75"/>
      <c r="Z135" s="75"/>
    </row>
    <row r="136" spans="7:26" s="98" customFormat="1" ht="13.5" hidden="1" customHeight="1">
      <c r="G136" s="164"/>
      <c r="H136" s="102" t="s">
        <v>564</v>
      </c>
      <c r="I136" s="151">
        <f>$D$7*0.05*$D$5</f>
        <v>450</v>
      </c>
      <c r="J136" s="152">
        <f t="shared" si="18"/>
        <v>13</v>
      </c>
      <c r="K136" s="153">
        <f t="shared" si="22"/>
        <v>5850</v>
      </c>
      <c r="L136" s="153">
        <f t="shared" si="20"/>
        <v>5850</v>
      </c>
      <c r="M136" s="153">
        <f t="shared" si="21"/>
        <v>595</v>
      </c>
      <c r="N136" s="153">
        <f t="shared" si="19"/>
        <v>3480750</v>
      </c>
      <c r="O136" s="148">
        <v>7</v>
      </c>
      <c r="P136" s="155">
        <v>6</v>
      </c>
      <c r="Q136" s="156"/>
      <c r="R136" s="75"/>
      <c r="S136" s="75"/>
      <c r="T136" s="75"/>
      <c r="U136" s="75"/>
      <c r="V136" s="75"/>
      <c r="W136" s="75"/>
      <c r="X136" s="75"/>
      <c r="Y136" s="75"/>
      <c r="Z136" s="75"/>
    </row>
    <row r="137" spans="7:26" s="98" customFormat="1" ht="13.5" hidden="1" customHeight="1">
      <c r="G137" s="164"/>
      <c r="H137" s="102" t="s">
        <v>565</v>
      </c>
      <c r="I137" s="151">
        <f>$D$7*0.05*$D$5</f>
        <v>450</v>
      </c>
      <c r="J137" s="152">
        <f>O137+P137+Q137</f>
        <v>2</v>
      </c>
      <c r="K137" s="153">
        <f>I137*J137</f>
        <v>900</v>
      </c>
      <c r="L137" s="153">
        <f t="shared" si="20"/>
        <v>1350</v>
      </c>
      <c r="M137" s="153">
        <f t="shared" si="21"/>
        <v>1630</v>
      </c>
      <c r="N137" s="153">
        <f t="shared" ref="N137:N147" si="23">L137*M137</f>
        <v>2200500</v>
      </c>
      <c r="O137" s="148">
        <v>1</v>
      </c>
      <c r="P137" s="155">
        <v>1</v>
      </c>
      <c r="Q137" s="156"/>
      <c r="R137" s="75"/>
      <c r="S137" s="75"/>
      <c r="T137" s="75"/>
      <c r="U137" s="75"/>
      <c r="V137" s="75"/>
      <c r="W137" s="75"/>
      <c r="X137" s="75"/>
      <c r="Y137" s="75"/>
      <c r="Z137" s="75"/>
    </row>
    <row r="138" spans="7:26" s="98" customFormat="1" ht="13.5" hidden="1" customHeight="1">
      <c r="G138" s="164"/>
      <c r="H138" s="102" t="s">
        <v>566</v>
      </c>
      <c r="I138" s="151">
        <f>$D$7*0.1</f>
        <v>300</v>
      </c>
      <c r="J138" s="152">
        <f t="shared" si="18"/>
        <v>1</v>
      </c>
      <c r="K138" s="153">
        <f>I138*J138</f>
        <v>300</v>
      </c>
      <c r="L138" s="153">
        <f t="shared" si="20"/>
        <v>300</v>
      </c>
      <c r="M138" s="153">
        <f t="shared" si="21"/>
        <v>1347</v>
      </c>
      <c r="N138" s="153">
        <f t="shared" si="23"/>
        <v>404100</v>
      </c>
      <c r="O138" s="148">
        <v>1</v>
      </c>
      <c r="P138" s="155"/>
      <c r="Q138" s="156"/>
      <c r="R138" s="75"/>
      <c r="S138" s="75"/>
      <c r="T138" s="75"/>
      <c r="U138" s="75"/>
      <c r="V138" s="75"/>
      <c r="W138" s="75"/>
      <c r="X138" s="75"/>
      <c r="Y138" s="75"/>
      <c r="Z138" s="75"/>
    </row>
    <row r="139" spans="7:26" s="98" customFormat="1" ht="13.5" hidden="1" customHeight="1">
      <c r="G139" s="164"/>
      <c r="H139" s="102" t="s">
        <v>567</v>
      </c>
      <c r="I139" s="151">
        <f t="shared" ref="I139:I147" si="24">$D$7</f>
        <v>3000</v>
      </c>
      <c r="J139" s="152">
        <f t="shared" ref="J139:J147" si="25">O139+P139+Q139</f>
        <v>1</v>
      </c>
      <c r="K139" s="153">
        <f>I139*J139</f>
        <v>3000</v>
      </c>
      <c r="L139" s="153">
        <f t="shared" si="20"/>
        <v>3000</v>
      </c>
      <c r="M139" s="153">
        <f t="shared" si="21"/>
        <v>7000</v>
      </c>
      <c r="N139" s="153">
        <f t="shared" si="23"/>
        <v>21000000</v>
      </c>
      <c r="O139" s="148">
        <v>1</v>
      </c>
      <c r="P139" s="155"/>
      <c r="Q139" s="156"/>
      <c r="R139" s="75"/>
      <c r="S139" s="75"/>
      <c r="T139" s="75"/>
      <c r="U139" s="75"/>
      <c r="V139" s="75"/>
      <c r="W139" s="75"/>
      <c r="X139" s="75"/>
      <c r="Y139" s="75"/>
      <c r="Z139" s="75"/>
    </row>
    <row r="140" spans="7:26" s="98" customFormat="1" ht="13.5" hidden="1" customHeight="1">
      <c r="G140" s="164"/>
      <c r="H140" s="102" t="s">
        <v>570</v>
      </c>
      <c r="I140" s="151">
        <f t="shared" si="24"/>
        <v>3000</v>
      </c>
      <c r="J140" s="152">
        <f t="shared" si="25"/>
        <v>1</v>
      </c>
      <c r="K140" s="153">
        <f>I139*J140</f>
        <v>3000</v>
      </c>
      <c r="L140" s="153">
        <f t="shared" si="20"/>
        <v>3000</v>
      </c>
      <c r="M140" s="153">
        <f t="shared" si="21"/>
        <v>830</v>
      </c>
      <c r="N140" s="153">
        <f t="shared" si="23"/>
        <v>2490000</v>
      </c>
      <c r="O140" s="148">
        <v>1</v>
      </c>
      <c r="P140" s="155"/>
      <c r="Q140" s="156"/>
      <c r="R140" s="75"/>
      <c r="S140" s="75"/>
      <c r="T140" s="75"/>
      <c r="U140" s="75"/>
      <c r="V140" s="75"/>
      <c r="W140" s="75"/>
      <c r="X140" s="75"/>
      <c r="Y140" s="75"/>
      <c r="Z140" s="75"/>
    </row>
    <row r="141" spans="7:26" s="98" customFormat="1" ht="13.5" hidden="1" customHeight="1">
      <c r="G141" s="164"/>
      <c r="H141" s="102" t="s">
        <v>571</v>
      </c>
      <c r="I141" s="151">
        <f t="shared" si="24"/>
        <v>3000</v>
      </c>
      <c r="J141" s="152">
        <f t="shared" si="25"/>
        <v>1</v>
      </c>
      <c r="K141" s="153">
        <f t="shared" ref="K141:K147" si="26">I141*J141</f>
        <v>3000</v>
      </c>
      <c r="L141" s="153">
        <f t="shared" si="20"/>
        <v>3000</v>
      </c>
      <c r="M141" s="153">
        <f t="shared" si="21"/>
        <v>90</v>
      </c>
      <c r="N141" s="153">
        <f t="shared" si="23"/>
        <v>270000</v>
      </c>
      <c r="O141" s="148">
        <v>1</v>
      </c>
      <c r="P141" s="155"/>
      <c r="Q141" s="156"/>
      <c r="R141" s="75"/>
      <c r="S141" s="75"/>
      <c r="T141" s="75"/>
      <c r="U141" s="75"/>
      <c r="V141" s="75"/>
      <c r="W141" s="75"/>
      <c r="X141" s="75"/>
      <c r="Y141" s="75"/>
      <c r="Z141" s="75"/>
    </row>
    <row r="142" spans="7:26" s="98" customFormat="1" ht="13.5" hidden="1" customHeight="1">
      <c r="G142" s="164"/>
      <c r="H142" s="102" t="s">
        <v>572</v>
      </c>
      <c r="I142" s="151">
        <f t="shared" si="24"/>
        <v>3000</v>
      </c>
      <c r="J142" s="152">
        <f t="shared" si="25"/>
        <v>1</v>
      </c>
      <c r="K142" s="153">
        <f t="shared" si="26"/>
        <v>3000</v>
      </c>
      <c r="L142" s="153">
        <f t="shared" si="20"/>
        <v>3000</v>
      </c>
      <c r="M142" s="153">
        <f t="shared" si="21"/>
        <v>2062</v>
      </c>
      <c r="N142" s="153">
        <f t="shared" si="23"/>
        <v>6186000</v>
      </c>
      <c r="O142" s="148">
        <v>1</v>
      </c>
      <c r="P142" s="155"/>
      <c r="Q142" s="156"/>
      <c r="R142" s="75"/>
      <c r="S142" s="75"/>
      <c r="T142" s="75"/>
      <c r="U142" s="75"/>
      <c r="V142" s="75"/>
      <c r="W142" s="75"/>
      <c r="X142" s="75"/>
      <c r="Y142" s="75"/>
      <c r="Z142" s="75"/>
    </row>
    <row r="143" spans="7:26" s="98" customFormat="1" ht="13.5" hidden="1" customHeight="1">
      <c r="G143" s="164"/>
      <c r="H143" s="102" t="s">
        <v>573</v>
      </c>
      <c r="I143" s="151">
        <f t="shared" si="24"/>
        <v>3000</v>
      </c>
      <c r="J143" s="152">
        <f t="shared" si="25"/>
        <v>1</v>
      </c>
      <c r="K143" s="153">
        <f t="shared" si="26"/>
        <v>3000</v>
      </c>
      <c r="L143" s="153">
        <f t="shared" si="20"/>
        <v>3000</v>
      </c>
      <c r="M143" s="153">
        <f t="shared" si="21"/>
        <v>1707</v>
      </c>
      <c r="N143" s="153">
        <f t="shared" si="23"/>
        <v>5121000</v>
      </c>
      <c r="O143" s="148">
        <v>1</v>
      </c>
      <c r="P143" s="155"/>
      <c r="Q143" s="156"/>
      <c r="R143" s="75"/>
      <c r="S143" s="75"/>
      <c r="T143" s="75"/>
      <c r="U143" s="75"/>
      <c r="V143" s="75"/>
      <c r="W143" s="75"/>
      <c r="X143" s="75"/>
      <c r="Y143" s="75"/>
      <c r="Z143" s="75"/>
    </row>
    <row r="144" spans="7:26" s="98" customFormat="1" ht="13.5" hidden="1" customHeight="1">
      <c r="G144" s="164"/>
      <c r="H144" s="102" t="s">
        <v>573</v>
      </c>
      <c r="I144" s="151">
        <f t="shared" si="24"/>
        <v>3000</v>
      </c>
      <c r="J144" s="152">
        <f t="shared" si="25"/>
        <v>1</v>
      </c>
      <c r="K144" s="153">
        <f t="shared" si="26"/>
        <v>3000</v>
      </c>
      <c r="L144" s="153">
        <f t="shared" si="20"/>
        <v>3000</v>
      </c>
      <c r="M144" s="153">
        <f t="shared" si="21"/>
        <v>1710</v>
      </c>
      <c r="N144" s="153">
        <f t="shared" si="23"/>
        <v>5130000</v>
      </c>
      <c r="O144" s="148">
        <v>1</v>
      </c>
      <c r="P144" s="155"/>
      <c r="Q144" s="156"/>
      <c r="R144" s="75"/>
      <c r="S144" s="75"/>
      <c r="T144" s="75"/>
      <c r="U144" s="75"/>
      <c r="V144" s="75"/>
      <c r="W144" s="75"/>
      <c r="X144" s="75"/>
      <c r="Y144" s="75"/>
      <c r="Z144" s="75"/>
    </row>
    <row r="145" spans="4:32" s="98" customFormat="1" ht="13.5" hidden="1" customHeight="1">
      <c r="G145" s="164"/>
      <c r="H145" s="102" t="s">
        <v>574</v>
      </c>
      <c r="I145" s="151">
        <f t="shared" si="24"/>
        <v>3000</v>
      </c>
      <c r="J145" s="152">
        <f t="shared" si="25"/>
        <v>1</v>
      </c>
      <c r="K145" s="153">
        <f t="shared" si="26"/>
        <v>3000</v>
      </c>
      <c r="L145" s="153">
        <f t="shared" si="20"/>
        <v>3000</v>
      </c>
      <c r="M145" s="153">
        <f t="shared" si="21"/>
        <v>1710</v>
      </c>
      <c r="N145" s="153">
        <f t="shared" si="23"/>
        <v>5130000</v>
      </c>
      <c r="O145" s="148">
        <v>1</v>
      </c>
      <c r="P145" s="155"/>
      <c r="Q145" s="156"/>
      <c r="R145" s="75"/>
      <c r="S145" s="75"/>
      <c r="T145" s="75"/>
      <c r="U145" s="75"/>
      <c r="V145" s="75"/>
      <c r="W145" s="75"/>
      <c r="X145" s="75"/>
      <c r="Y145" s="75"/>
      <c r="Z145" s="75"/>
    </row>
    <row r="146" spans="4:32" s="98" customFormat="1" ht="13.5" hidden="1" customHeight="1">
      <c r="G146" s="164"/>
      <c r="H146" s="102" t="s">
        <v>575</v>
      </c>
      <c r="I146" s="151">
        <f t="shared" si="24"/>
        <v>3000</v>
      </c>
      <c r="J146" s="152">
        <f t="shared" si="25"/>
        <v>1</v>
      </c>
      <c r="K146" s="153">
        <f t="shared" si="26"/>
        <v>3000</v>
      </c>
      <c r="L146" s="153">
        <f t="shared" si="20"/>
        <v>3000</v>
      </c>
      <c r="M146" s="153">
        <f t="shared" si="21"/>
        <v>1710</v>
      </c>
      <c r="N146" s="153">
        <f t="shared" si="23"/>
        <v>5130000</v>
      </c>
      <c r="O146" s="148">
        <v>1</v>
      </c>
      <c r="P146" s="155"/>
      <c r="Q146" s="156"/>
      <c r="R146" s="75"/>
      <c r="S146" s="75"/>
      <c r="T146" s="75"/>
      <c r="U146" s="75"/>
      <c r="V146" s="75"/>
      <c r="W146" s="75"/>
      <c r="X146" s="75"/>
      <c r="Y146" s="75"/>
      <c r="Z146" s="75"/>
    </row>
    <row r="147" spans="4:32" s="98" customFormat="1" ht="13.5" hidden="1" customHeight="1">
      <c r="G147" s="164"/>
      <c r="H147" s="102" t="s">
        <v>576</v>
      </c>
      <c r="I147" s="151">
        <f t="shared" si="24"/>
        <v>3000</v>
      </c>
      <c r="J147" s="152">
        <f t="shared" si="25"/>
        <v>1</v>
      </c>
      <c r="K147" s="153">
        <f t="shared" si="26"/>
        <v>3000</v>
      </c>
      <c r="L147" s="153">
        <f t="shared" si="20"/>
        <v>3000</v>
      </c>
      <c r="M147" s="153">
        <f t="shared" si="21"/>
        <v>1710</v>
      </c>
      <c r="N147" s="153">
        <f t="shared" si="23"/>
        <v>5130000</v>
      </c>
      <c r="O147" s="148">
        <v>1</v>
      </c>
      <c r="P147" s="155"/>
      <c r="Q147" s="156"/>
      <c r="R147" s="75"/>
      <c r="S147" s="75"/>
      <c r="T147" s="75"/>
      <c r="U147" s="75"/>
      <c r="V147" s="75"/>
      <c r="W147" s="75"/>
      <c r="X147" s="75"/>
      <c r="Y147" s="75"/>
      <c r="Z147" s="75"/>
    </row>
    <row r="148" spans="4:32" s="98" customFormat="1" ht="13.5" hidden="1" customHeight="1">
      <c r="G148" s="164"/>
      <c r="H148" s="102" t="s">
        <v>584</v>
      </c>
      <c r="I148" s="151">
        <f>($D$7-$D$7*$D$8/100)*(12+$D$15+1+$D$16)*IF($D$5&gt;$D$26,$D$26,$D$5)</f>
        <v>153000</v>
      </c>
      <c r="J148" s="152">
        <f>O148+P148+Q148</f>
        <v>1</v>
      </c>
      <c r="K148" s="153">
        <f>I148*J148</f>
        <v>153000</v>
      </c>
      <c r="L148" s="153">
        <f>I148*(1+$D$99*P148)</f>
        <v>153000</v>
      </c>
      <c r="M148" s="153">
        <f t="shared" si="21"/>
        <v>286</v>
      </c>
      <c r="N148" s="153">
        <f>L148*M148</f>
        <v>43758000</v>
      </c>
      <c r="O148" s="148">
        <v>1</v>
      </c>
      <c r="P148" s="155"/>
      <c r="Q148" s="156"/>
      <c r="R148" s="75"/>
      <c r="S148" s="75"/>
      <c r="T148" s="75"/>
      <c r="U148" s="75"/>
      <c r="V148" s="75"/>
      <c r="W148" s="75"/>
      <c r="X148" s="75"/>
      <c r="Y148" s="75"/>
      <c r="Z148" s="75"/>
    </row>
    <row r="149" spans="4:32" s="98" customFormat="1" ht="13.5" hidden="1" customHeight="1">
      <c r="G149" s="164"/>
      <c r="H149" s="102" t="s">
        <v>585</v>
      </c>
      <c r="I149" s="151">
        <f>$D$7+($D$7*0.3)*D5</f>
        <v>5700</v>
      </c>
      <c r="J149" s="152">
        <f>O149+P149+Q149</f>
        <v>1</v>
      </c>
      <c r="K149" s="153">
        <f>I149*J149</f>
        <v>5700</v>
      </c>
      <c r="L149" s="153">
        <f>I149*(1+$D$99*P149)</f>
        <v>5700</v>
      </c>
      <c r="M149" s="153">
        <f t="shared" si="21"/>
        <v>286</v>
      </c>
      <c r="N149" s="153">
        <f>L149*M149</f>
        <v>1630200</v>
      </c>
      <c r="O149" s="148">
        <v>1</v>
      </c>
      <c r="P149" s="155"/>
      <c r="Q149" s="156"/>
      <c r="R149" s="75"/>
      <c r="S149" s="75"/>
      <c r="T149" s="75"/>
      <c r="U149" s="75"/>
      <c r="V149" s="75"/>
      <c r="W149" s="75"/>
      <c r="X149" s="75"/>
      <c r="Y149" s="75"/>
      <c r="Z149" s="75"/>
    </row>
    <row r="150" spans="4:32" s="98" customFormat="1" ht="13.5" hidden="1" customHeight="1">
      <c r="G150" s="164"/>
      <c r="H150" s="102" t="s">
        <v>589</v>
      </c>
      <c r="I150" s="151">
        <f t="shared" ref="I150:I152" si="27">$D$7*0.1*$D$5</f>
        <v>900</v>
      </c>
      <c r="J150" s="152">
        <f>O150+P150+Q150</f>
        <v>1</v>
      </c>
      <c r="K150" s="153">
        <f>I150*J150</f>
        <v>900</v>
      </c>
      <c r="L150" s="153">
        <f>I150*(1+$D$99*P150)</f>
        <v>900</v>
      </c>
      <c r="M150" s="153">
        <f t="shared" si="21"/>
        <v>509</v>
      </c>
      <c r="N150" s="153">
        <f>L150*M150</f>
        <v>458100</v>
      </c>
      <c r="O150" s="148">
        <v>1</v>
      </c>
      <c r="P150" s="155"/>
      <c r="Q150" s="156"/>
      <c r="R150" s="75"/>
      <c r="S150" s="75"/>
      <c r="T150" s="75"/>
      <c r="U150" s="75"/>
      <c r="V150" s="75"/>
      <c r="W150" s="75"/>
      <c r="X150" s="75"/>
      <c r="Y150" s="75"/>
      <c r="Z150" s="75"/>
    </row>
    <row r="151" spans="4:32" s="98" customFormat="1" ht="13.5" hidden="1" customHeight="1">
      <c r="G151" s="164"/>
      <c r="H151" s="102" t="s">
        <v>591</v>
      </c>
      <c r="I151" s="151">
        <f t="shared" si="27"/>
        <v>900</v>
      </c>
      <c r="J151" s="152">
        <f>O151+P151+Q151</f>
        <v>1</v>
      </c>
      <c r="K151" s="153">
        <f>I151*J151</f>
        <v>900</v>
      </c>
      <c r="L151" s="153">
        <f>I151*(1+$D$99*P151)</f>
        <v>900</v>
      </c>
      <c r="M151" s="153">
        <f t="shared" si="21"/>
        <v>587</v>
      </c>
      <c r="N151" s="153">
        <f>L151*M151</f>
        <v>528300</v>
      </c>
      <c r="O151" s="148">
        <v>1</v>
      </c>
      <c r="P151" s="155"/>
      <c r="Q151" s="156"/>
      <c r="R151" s="75"/>
      <c r="S151" s="75"/>
      <c r="T151" s="75"/>
      <c r="U151" s="75"/>
      <c r="V151" s="75"/>
      <c r="W151" s="75"/>
      <c r="X151" s="75"/>
      <c r="Y151" s="75"/>
      <c r="Z151" s="75"/>
    </row>
    <row r="152" spans="4:32" s="98" customFormat="1" ht="13.5" hidden="1" customHeight="1">
      <c r="G152" s="164"/>
      <c r="H152" s="102" t="s">
        <v>594</v>
      </c>
      <c r="I152" s="151">
        <f t="shared" si="27"/>
        <v>900</v>
      </c>
      <c r="J152" s="152">
        <f>O152+P152+Q152</f>
        <v>1</v>
      </c>
      <c r="K152" s="153">
        <f>I152*J152</f>
        <v>900</v>
      </c>
      <c r="L152" s="153">
        <f>I152*(1+$D$99*P152)</f>
        <v>900</v>
      </c>
      <c r="M152" s="153">
        <f t="shared" si="21"/>
        <v>701</v>
      </c>
      <c r="N152" s="153">
        <f>L152*M152</f>
        <v>630900</v>
      </c>
      <c r="O152" s="148">
        <v>1</v>
      </c>
      <c r="P152" s="155"/>
      <c r="Q152" s="156"/>
      <c r="R152" s="75"/>
      <c r="S152" s="75"/>
      <c r="T152" s="75"/>
      <c r="U152" s="75"/>
      <c r="V152" s="75"/>
      <c r="W152" s="75"/>
      <c r="X152" s="75"/>
      <c r="Y152" s="75"/>
      <c r="Z152" s="75"/>
    </row>
    <row r="153" spans="4:32" s="98" customFormat="1" ht="13.5" hidden="1" customHeight="1">
      <c r="H153" s="165"/>
      <c r="I153" s="166"/>
      <c r="J153" s="166"/>
      <c r="K153" s="167">
        <f>SUM(K89:K151)</f>
        <v>12269806.5</v>
      </c>
      <c r="L153" s="167">
        <f>SUM(L89:L151)</f>
        <v>14855656.5</v>
      </c>
      <c r="M153" s="102"/>
      <c r="N153" s="167">
        <f>SUM(N89:N151)</f>
        <v>5877338823.5</v>
      </c>
      <c r="O153" s="135"/>
      <c r="P153" s="136"/>
      <c r="Q153" s="168"/>
      <c r="R153" s="75"/>
      <c r="S153" s="75"/>
      <c r="T153" s="75"/>
      <c r="U153" s="75"/>
      <c r="V153" s="75"/>
      <c r="W153" s="75"/>
      <c r="X153" s="75"/>
      <c r="Y153" s="75"/>
      <c r="Z153" s="75"/>
    </row>
    <row r="154" spans="4:32" s="98" customFormat="1" ht="13.5" customHeight="1">
      <c r="G154" s="75"/>
      <c r="H154" s="75"/>
      <c r="I154" s="85"/>
      <c r="J154" s="85"/>
      <c r="K154" s="85"/>
      <c r="L154" s="85"/>
      <c r="M154" s="85"/>
      <c r="N154" s="75"/>
      <c r="O154" s="135"/>
      <c r="P154" s="136"/>
      <c r="Q154" s="81"/>
      <c r="R154" s="75"/>
      <c r="S154" s="75"/>
      <c r="T154" s="75"/>
      <c r="U154" s="75"/>
      <c r="V154" s="75"/>
      <c r="W154" s="75"/>
      <c r="X154" s="75"/>
      <c r="Y154" s="75"/>
      <c r="Z154" s="75"/>
    </row>
    <row r="155" spans="4:32" s="98" customFormat="1" ht="13.5" customHeight="1">
      <c r="G155" s="75"/>
      <c r="H155" s="75"/>
      <c r="I155" s="85"/>
      <c r="J155" s="85"/>
      <c r="K155" s="85"/>
      <c r="L155" s="85"/>
      <c r="M155" s="85"/>
      <c r="N155" s="75"/>
      <c r="O155" s="135"/>
      <c r="P155" s="136"/>
      <c r="Q155" s="81"/>
      <c r="R155" s="75"/>
      <c r="S155" s="75"/>
      <c r="T155" s="75"/>
      <c r="U155" s="75"/>
      <c r="V155" s="75"/>
      <c r="W155" s="75"/>
      <c r="X155" s="75"/>
      <c r="Y155" s="75"/>
      <c r="Z155" s="75"/>
    </row>
    <row r="156" spans="4:32" s="98" customFormat="1">
      <c r="G156" s="75"/>
      <c r="H156" s="75"/>
      <c r="I156" s="85"/>
      <c r="J156" s="85"/>
      <c r="K156" s="85"/>
      <c r="L156" s="85"/>
      <c r="M156" s="85"/>
      <c r="N156" s="75"/>
      <c r="O156" s="135"/>
      <c r="P156" s="136"/>
      <c r="Q156" s="81"/>
      <c r="R156" s="75"/>
      <c r="S156" s="75"/>
      <c r="T156" s="75"/>
      <c r="U156" s="75"/>
      <c r="V156" s="75"/>
      <c r="W156" s="75"/>
      <c r="X156" s="75"/>
      <c r="Y156" s="125"/>
      <c r="Z156" s="75"/>
      <c r="AA156" s="75"/>
      <c r="AB156" s="75"/>
      <c r="AC156" s="75"/>
    </row>
    <row r="157" spans="4:32" s="98" customFormat="1">
      <c r="G157" s="75"/>
      <c r="H157" s="75"/>
      <c r="I157" s="85"/>
      <c r="J157" s="85"/>
      <c r="K157" s="85"/>
      <c r="L157" s="85"/>
      <c r="M157" s="85"/>
      <c r="N157" s="75"/>
      <c r="O157" s="135"/>
      <c r="P157" s="136"/>
      <c r="Q157" s="81"/>
      <c r="R157" s="75"/>
      <c r="S157" s="75"/>
      <c r="T157" s="75"/>
      <c r="U157" s="75"/>
      <c r="V157" s="75"/>
      <c r="W157" s="75"/>
      <c r="X157" s="75"/>
      <c r="Y157" s="125"/>
      <c r="Z157" s="75"/>
      <c r="AA157" s="75"/>
      <c r="AB157" s="75"/>
      <c r="AC157" s="75"/>
      <c r="AD157" s="75"/>
      <c r="AE157" s="75"/>
      <c r="AF157" s="75"/>
    </row>
    <row r="158" spans="4:32">
      <c r="D158" s="98"/>
      <c r="E158" s="98"/>
      <c r="F158" s="98"/>
      <c r="H158" s="75"/>
    </row>
    <row r="159" spans="4:32">
      <c r="D159" s="98"/>
      <c r="E159" s="98"/>
      <c r="F159" s="98"/>
      <c r="H159" s="75"/>
    </row>
    <row r="160" spans="4:32">
      <c r="D160" s="98"/>
      <c r="E160" s="98"/>
      <c r="F160" s="98"/>
      <c r="H160" s="75"/>
    </row>
    <row r="161" spans="4:27">
      <c r="D161" s="98"/>
      <c r="E161" s="98"/>
      <c r="F161" s="98"/>
      <c r="H161" s="75"/>
    </row>
    <row r="162" spans="4:27">
      <c r="D162" s="98"/>
      <c r="E162" s="98"/>
      <c r="F162" s="98"/>
      <c r="H162" s="75"/>
    </row>
    <row r="163" spans="4:27">
      <c r="D163" s="98"/>
      <c r="E163" s="98"/>
      <c r="F163" s="98"/>
      <c r="H163" s="75"/>
      <c r="Z163" s="125"/>
    </row>
    <row r="164" spans="4:27">
      <c r="D164" s="98"/>
      <c r="E164" s="98"/>
      <c r="F164" s="98"/>
      <c r="H164" s="75"/>
      <c r="Z164" s="125"/>
    </row>
    <row r="165" spans="4:27">
      <c r="D165" s="98"/>
      <c r="E165" s="98"/>
      <c r="F165" s="98"/>
    </row>
    <row r="166" spans="4:27">
      <c r="D166" s="98"/>
      <c r="E166" s="98"/>
      <c r="F166" s="98"/>
    </row>
    <row r="167" spans="4:27">
      <c r="D167" s="98"/>
      <c r="E167" s="98"/>
      <c r="F167" s="98"/>
    </row>
    <row r="168" spans="4:27">
      <c r="D168" s="98"/>
      <c r="E168" s="98"/>
      <c r="F168" s="98"/>
    </row>
    <row r="169" spans="4:27">
      <c r="D169" s="98"/>
      <c r="E169" s="98"/>
      <c r="F169" s="98"/>
    </row>
    <row r="170" spans="4:27">
      <c r="D170" s="98"/>
      <c r="E170" s="98"/>
      <c r="F170" s="98"/>
    </row>
    <row r="171" spans="4:27">
      <c r="D171" s="98"/>
      <c r="E171" s="98"/>
      <c r="F171" s="98"/>
    </row>
    <row r="172" spans="4:27">
      <c r="D172" s="98"/>
      <c r="E172" s="98"/>
      <c r="F172" s="98"/>
      <c r="AA172" s="125"/>
    </row>
    <row r="173" spans="4:27">
      <c r="D173" s="98"/>
      <c r="E173" s="98"/>
      <c r="F173" s="98"/>
      <c r="AA173" s="125"/>
    </row>
    <row r="174" spans="4:27">
      <c r="D174" s="98"/>
      <c r="E174" s="98"/>
      <c r="F174" s="116"/>
    </row>
    <row r="175" spans="4:27">
      <c r="D175" s="98"/>
      <c r="E175" s="98"/>
      <c r="F175" s="116"/>
    </row>
    <row r="176" spans="4:27">
      <c r="D176" s="98"/>
      <c r="E176" s="98"/>
      <c r="F176" s="98"/>
    </row>
    <row r="177" spans="4:29">
      <c r="D177" s="98"/>
      <c r="E177" s="98"/>
      <c r="F177" s="98"/>
    </row>
    <row r="178" spans="4:29">
      <c r="D178" s="98"/>
      <c r="E178" s="98"/>
      <c r="F178" s="98"/>
    </row>
    <row r="179" spans="4:29">
      <c r="D179" s="98"/>
      <c r="E179" s="98"/>
      <c r="F179" s="98"/>
      <c r="AB179" s="125"/>
    </row>
    <row r="180" spans="4:29">
      <c r="D180" s="98"/>
      <c r="AB180" s="125"/>
    </row>
    <row r="181" spans="4:29">
      <c r="D181" s="98"/>
    </row>
    <row r="182" spans="4:29">
      <c r="D182" s="98"/>
      <c r="AC182" s="125"/>
    </row>
    <row r="183" spans="4:29">
      <c r="D183" s="98"/>
      <c r="AC183" s="125"/>
    </row>
    <row r="184" spans="4:29">
      <c r="D184" s="98"/>
    </row>
    <row r="185" spans="4:29">
      <c r="D185" s="98"/>
    </row>
    <row r="204" spans="30:35">
      <c r="AD204" s="125"/>
      <c r="AE204" s="125"/>
      <c r="AF204" s="125"/>
    </row>
    <row r="205" spans="30:35">
      <c r="AD205" s="125"/>
      <c r="AE205" s="125"/>
      <c r="AF205" s="125"/>
      <c r="AG205" s="125"/>
      <c r="AH205" s="125"/>
      <c r="AI205" s="125"/>
    </row>
    <row r="206" spans="30:35">
      <c r="AG206" s="125"/>
      <c r="AH206" s="125"/>
      <c r="AI206" s="125"/>
    </row>
    <row r="243" spans="5:35">
      <c r="G243" s="125"/>
    </row>
    <row r="244" spans="5:35">
      <c r="G244" s="125"/>
    </row>
    <row r="251" spans="5:35">
      <c r="E251" s="125"/>
      <c r="F251" s="125"/>
    </row>
    <row r="252" spans="5:35">
      <c r="E252" s="125"/>
      <c r="F252" s="125"/>
    </row>
    <row r="255" spans="5:35" s="125" customFormat="1">
      <c r="E255" s="75"/>
      <c r="F255" s="75"/>
      <c r="G255" s="75"/>
      <c r="H255" s="85"/>
      <c r="I255" s="85"/>
      <c r="J255" s="85"/>
      <c r="K255" s="85"/>
      <c r="L255" s="85"/>
      <c r="M255" s="85"/>
      <c r="N255" s="75"/>
      <c r="O255" s="135"/>
      <c r="P255" s="136"/>
      <c r="Q255" s="81"/>
      <c r="R255" s="75"/>
      <c r="S255" s="75"/>
      <c r="T255" s="75"/>
      <c r="U255" s="75"/>
      <c r="V255" s="75"/>
      <c r="W255" s="75"/>
      <c r="X255" s="75"/>
      <c r="Y255" s="75"/>
      <c r="Z255" s="75"/>
      <c r="AA255" s="75"/>
      <c r="AB255" s="75"/>
      <c r="AC255" s="75"/>
      <c r="AD255" s="75"/>
      <c r="AE255" s="75"/>
      <c r="AF255" s="75"/>
      <c r="AG255" s="75"/>
      <c r="AH255" s="75"/>
      <c r="AI255" s="75"/>
    </row>
    <row r="256" spans="5:35" s="125" customFormat="1">
      <c r="E256" s="75"/>
      <c r="F256" s="75"/>
      <c r="G256" s="75"/>
      <c r="H256" s="85"/>
      <c r="I256" s="85"/>
      <c r="J256" s="85"/>
      <c r="K256" s="85"/>
      <c r="L256" s="85"/>
      <c r="M256" s="85"/>
      <c r="N256" s="75"/>
      <c r="O256" s="135"/>
      <c r="P256" s="136"/>
      <c r="Q256" s="81"/>
      <c r="R256" s="75"/>
      <c r="S256" s="75"/>
      <c r="T256" s="75"/>
      <c r="U256" s="75"/>
      <c r="V256" s="75"/>
      <c r="W256" s="75"/>
      <c r="X256" s="75"/>
      <c r="Y256" s="75"/>
      <c r="Z256" s="75"/>
      <c r="AA256" s="75"/>
      <c r="AB256" s="75"/>
      <c r="AC256" s="75"/>
      <c r="AD256" s="75"/>
      <c r="AE256" s="75"/>
      <c r="AF256" s="75"/>
      <c r="AG256" s="75"/>
      <c r="AH256" s="75"/>
      <c r="AI256" s="75"/>
    </row>
  </sheetData>
  <mergeCells count="42">
    <mergeCell ref="Q52:R52"/>
    <mergeCell ref="Q53:R53"/>
    <mergeCell ref="Q47:R47"/>
    <mergeCell ref="Q48:R48"/>
    <mergeCell ref="Q49:R49"/>
    <mergeCell ref="Q67:R67"/>
    <mergeCell ref="Q68:R68"/>
    <mergeCell ref="Q69:R69"/>
    <mergeCell ref="Q65:R65"/>
    <mergeCell ref="Q66:R66"/>
    <mergeCell ref="C2:D2"/>
    <mergeCell ref="Q18:R18"/>
    <mergeCell ref="Q19:R19"/>
    <mergeCell ref="Q20:R20"/>
    <mergeCell ref="Q4:R4"/>
    <mergeCell ref="Q5:R5"/>
    <mergeCell ref="Q6:R6"/>
    <mergeCell ref="Q7:R7"/>
    <mergeCell ref="Q17:R17"/>
    <mergeCell ref="Q10:R10"/>
    <mergeCell ref="Q8:R8"/>
    <mergeCell ref="Q9:R9"/>
    <mergeCell ref="Q14:R14"/>
    <mergeCell ref="Q16:R16"/>
    <mergeCell ref="Q11:R11"/>
    <mergeCell ref="Q12:R12"/>
    <mergeCell ref="Q13:R13"/>
    <mergeCell ref="Q64:R64"/>
    <mergeCell ref="Q15:R15"/>
    <mergeCell ref="Q59:R59"/>
    <mergeCell ref="Q55:R55"/>
    <mergeCell ref="Q56:R56"/>
    <mergeCell ref="Q57:R57"/>
    <mergeCell ref="Q54:R54"/>
    <mergeCell ref="Q58:R58"/>
    <mergeCell ref="Q60:R60"/>
    <mergeCell ref="Q61:R61"/>
    <mergeCell ref="Q62:R62"/>
    <mergeCell ref="Q63:R63"/>
    <mergeCell ref="Q50:R50"/>
    <mergeCell ref="Q45:R45"/>
    <mergeCell ref="Q51:R51"/>
  </mergeCells>
  <phoneticPr fontId="3"/>
  <dataValidations count="4">
    <dataValidation type="whole" imeMode="off" operator="greaterThanOrEqual" allowBlank="1" showInputMessage="1" showErrorMessage="1" sqref="D16 D7 D9:D14" xr:uid="{00000000-0002-0000-0100-000000000000}">
      <formula1>0</formula1>
    </dataValidation>
    <dataValidation type="whole" allowBlank="1" showInputMessage="1" showErrorMessage="1" error="0 または 1 を指定してください。" sqref="D19 D25" xr:uid="{00000000-0002-0000-0100-000001000000}">
      <formula1>0</formula1>
      <formula2>1</formula2>
    </dataValidation>
    <dataValidation type="decimal" allowBlank="1" showInputMessage="1" showErrorMessage="1" sqref="D23" xr:uid="{00000000-0002-0000-0100-000002000000}">
      <formula1>0</formula1>
      <formula2>100</formula2>
    </dataValidation>
    <dataValidation type="decimal" imeMode="off" allowBlank="1" showInputMessage="1" showErrorMessage="1" error="0～100の間で指定してください。" sqref="D8" xr:uid="{00000000-0002-0000-0100-000003000000}">
      <formula1>0</formula1>
      <formula2>100</formula2>
    </dataValidation>
  </dataValidations>
  <pageMargins left="0.39370078740157483" right="0.39370078740157483" top="0.59055118110236227" bottom="0.59055118110236227" header="0.31496062992125984" footer="0.31496062992125984"/>
  <pageSetup paperSize="8" scale="8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213"/>
  <sheetViews>
    <sheetView showGridLines="0" zoomScale="90" zoomScaleNormal="90" workbookViewId="0"/>
  </sheetViews>
  <sheetFormatPr defaultColWidth="8.875" defaultRowHeight="13.5"/>
  <cols>
    <col min="1" max="1" width="2.125" style="75" customWidth="1"/>
    <col min="2" max="2" width="2.375" style="75" customWidth="1"/>
    <col min="3" max="3" width="50.25" style="75" customWidth="1"/>
    <col min="4" max="4" width="10.375" style="75" customWidth="1"/>
    <col min="5" max="5" width="11" style="75" customWidth="1"/>
    <col min="6" max="6" width="2.125" style="75" customWidth="1"/>
    <col min="7" max="7" width="3" style="75" customWidth="1"/>
    <col min="8" max="8" width="13.125" style="85" customWidth="1"/>
    <col min="9" max="9" width="9.875" style="85" bestFit="1" customWidth="1"/>
    <col min="10" max="10" width="9.75" style="85" customWidth="1"/>
    <col min="11" max="11" width="16.375" style="85" customWidth="1"/>
    <col min="12" max="12" width="16.25" style="85" customWidth="1"/>
    <col min="13" max="13" width="17.75" style="85" customWidth="1"/>
    <col min="14" max="14" width="23.875" style="75" customWidth="1"/>
    <col min="15" max="15" width="9.125" style="135" customWidth="1"/>
    <col min="16" max="16" width="13.125" style="136" bestFit="1" customWidth="1"/>
    <col min="17" max="18" width="8.875" style="262" customWidth="1"/>
    <col min="19" max="16384" width="8.875" style="75"/>
  </cols>
  <sheetData>
    <row r="1" spans="2:25" ht="14.25" thickBot="1">
      <c r="H1" s="76" t="s">
        <v>29</v>
      </c>
      <c r="I1" s="77">
        <v>8192</v>
      </c>
      <c r="J1" s="78" t="s">
        <v>57</v>
      </c>
      <c r="K1" s="78"/>
      <c r="L1" s="75"/>
      <c r="M1" s="75"/>
      <c r="O1" s="79"/>
      <c r="P1" s="80"/>
    </row>
    <row r="2" spans="2:25" ht="35.25">
      <c r="B2" s="82"/>
      <c r="C2" s="176" t="s">
        <v>544</v>
      </c>
      <c r="D2" s="263"/>
      <c r="E2" s="83"/>
      <c r="F2" s="84"/>
      <c r="H2" s="90"/>
      <c r="I2" s="75"/>
      <c r="J2" s="75"/>
      <c r="K2" s="91"/>
      <c r="L2" s="92"/>
      <c r="M2" s="75"/>
      <c r="O2" s="79"/>
      <c r="P2" s="93" t="s">
        <v>30</v>
      </c>
    </row>
    <row r="3" spans="2:25" ht="19.5" customHeight="1" thickBot="1">
      <c r="B3" s="86"/>
      <c r="C3" s="308" t="s">
        <v>602</v>
      </c>
      <c r="D3" s="88"/>
      <c r="E3" s="87"/>
      <c r="F3" s="89"/>
      <c r="H3" s="264" t="s">
        <v>58</v>
      </c>
      <c r="I3" s="264" t="s">
        <v>59</v>
      </c>
      <c r="J3" s="264" t="s">
        <v>60</v>
      </c>
      <c r="K3" s="264" t="s">
        <v>61</v>
      </c>
      <c r="L3" s="264" t="s">
        <v>62</v>
      </c>
      <c r="M3" s="264" t="s">
        <v>167</v>
      </c>
      <c r="N3" s="264" t="s">
        <v>289</v>
      </c>
      <c r="O3" s="265" t="s">
        <v>290</v>
      </c>
      <c r="P3" s="266" t="s">
        <v>168</v>
      </c>
      <c r="Q3" s="267"/>
      <c r="R3" s="268" t="s">
        <v>291</v>
      </c>
      <c r="S3" s="269"/>
      <c r="T3" s="269"/>
      <c r="U3" s="269"/>
      <c r="V3" s="269"/>
      <c r="W3" s="270"/>
      <c r="X3" s="270"/>
      <c r="Y3" s="271"/>
    </row>
    <row r="4" spans="2:25" ht="18" customHeight="1" thickBot="1">
      <c r="B4" s="86"/>
      <c r="C4" s="272" t="s">
        <v>66</v>
      </c>
      <c r="D4" s="273">
        <f>ROUNDUP($P$102/1000,2)*1.1</f>
        <v>8.0850000000000009</v>
      </c>
      <c r="E4" s="274" t="s">
        <v>67</v>
      </c>
      <c r="F4" s="89"/>
      <c r="H4" s="163" t="s">
        <v>292</v>
      </c>
      <c r="I4" s="163">
        <v>10</v>
      </c>
      <c r="J4" s="163">
        <v>1</v>
      </c>
      <c r="K4" s="163">
        <v>33</v>
      </c>
      <c r="L4" s="163">
        <v>2</v>
      </c>
      <c r="M4" s="163">
        <v>1021</v>
      </c>
      <c r="N4" s="163">
        <f>3+1*K4+3*L4+M4</f>
        <v>1063</v>
      </c>
      <c r="O4" s="163">
        <f>$O92*0.01*$D11</f>
        <v>22.6</v>
      </c>
      <c r="P4" s="163">
        <f xml:space="preserve"> $I$1 * CEILING( 1* $O$4/ FLOOR(1* ( CEILING(($I$1 -20 - 4- 48- ($J$4 - 1) * 24 - 14) * (1 - $I$4/100), 1) - 4) / (MAX(1 * 3 + 4 + 2, ( 3 *1+ 1 * $K$4+ 3 * $L$4+ $M$4 )  )  + 2),1 ), 1 )/1024/1024</f>
        <v>3.125E-2</v>
      </c>
      <c r="Q4" s="123"/>
      <c r="R4" s="275"/>
      <c r="S4" s="275"/>
      <c r="T4" s="275"/>
      <c r="U4" s="275"/>
      <c r="V4" s="275"/>
      <c r="W4" s="276"/>
      <c r="X4" s="276"/>
      <c r="Y4" s="277"/>
    </row>
    <row r="5" spans="2:25" ht="18" customHeight="1">
      <c r="B5" s="86"/>
      <c r="C5" s="278" t="s">
        <v>293</v>
      </c>
      <c r="D5" s="279">
        <v>1</v>
      </c>
      <c r="E5" s="87" t="s">
        <v>294</v>
      </c>
      <c r="F5" s="89"/>
      <c r="H5" s="163" t="s">
        <v>295</v>
      </c>
      <c r="I5" s="163">
        <v>10</v>
      </c>
      <c r="J5" s="163">
        <v>1</v>
      </c>
      <c r="K5" s="163">
        <v>32</v>
      </c>
      <c r="L5" s="163">
        <v>4</v>
      </c>
      <c r="M5" s="163">
        <v>1637</v>
      </c>
      <c r="N5" s="163">
        <f t="shared" ref="N5:N34" si="0">3+1*K5+3*L5+M5</f>
        <v>1684</v>
      </c>
      <c r="O5" s="163">
        <f>$D7*0.2*$D5</f>
        <v>400</v>
      </c>
      <c r="P5" s="163">
        <f xml:space="preserve"> $I$1 * CEILING( 1* $O$5/ FLOOR(1* ( CEILING(($I$1 -20 - 4- 48- ($J$5 - 1) * 24 - 14) * (1 - $I$5/100), 1) - 4) / (MAX(1 * 3 + 4 + 2, ( 3 *1+ 1 * $K$5+ 3 * $L$5+ $M$5 )  )  + 2),1 ), 1 )/1024/1024</f>
        <v>0.78125</v>
      </c>
      <c r="Q5" s="123" t="s">
        <v>296</v>
      </c>
      <c r="R5" s="275" t="s">
        <v>297</v>
      </c>
      <c r="S5" s="275"/>
      <c r="T5" s="275"/>
      <c r="U5" s="275"/>
      <c r="V5" s="275"/>
      <c r="W5" s="280"/>
      <c r="X5" s="280"/>
      <c r="Y5" s="281"/>
    </row>
    <row r="6" spans="2:25" ht="18" customHeight="1">
      <c r="B6" s="86"/>
      <c r="C6" s="282" t="s">
        <v>298</v>
      </c>
      <c r="D6" s="283"/>
      <c r="E6" s="87"/>
      <c r="F6" s="89"/>
      <c r="H6" s="163" t="s">
        <v>299</v>
      </c>
      <c r="I6" s="163">
        <v>10</v>
      </c>
      <c r="J6" s="163">
        <v>1</v>
      </c>
      <c r="K6" s="163">
        <v>12</v>
      </c>
      <c r="L6" s="163">
        <v>0</v>
      </c>
      <c r="M6" s="163">
        <v>69</v>
      </c>
      <c r="N6" s="163">
        <f t="shared" si="0"/>
        <v>84</v>
      </c>
      <c r="O6" s="163">
        <v>5000</v>
      </c>
      <c r="P6" s="163">
        <f xml:space="preserve"> $I$1 * CEILING( 1* $O$6/ FLOOR(1* ( CEILING(($I$1 -20 - 4- 48- ($J$6 - 1) * 24 - 14) * (1 - $I$6/100), 1) - 4) / (MAX(1 * 3 + 4 + 2, ( 3 *1+ 1 * $K$6+ 3 * $L$6+ $M$6 )  )  + 2),1 ), 1 )/1024/1024</f>
        <v>0.46875</v>
      </c>
      <c r="Q6" s="123" t="s">
        <v>300</v>
      </c>
      <c r="R6" s="275" t="s">
        <v>301</v>
      </c>
      <c r="S6" s="275"/>
      <c r="T6" s="275"/>
      <c r="U6" s="275"/>
      <c r="V6" s="275"/>
      <c r="W6" s="280"/>
      <c r="X6" s="280"/>
      <c r="Y6" s="281"/>
    </row>
    <row r="7" spans="2:25" ht="18" customHeight="1">
      <c r="B7" s="86"/>
      <c r="C7" s="284" t="s">
        <v>302</v>
      </c>
      <c r="D7" s="285">
        <v>2000</v>
      </c>
      <c r="F7" s="112"/>
      <c r="H7" s="163" t="s">
        <v>303</v>
      </c>
      <c r="I7" s="163">
        <v>10</v>
      </c>
      <c r="J7" s="163">
        <v>1</v>
      </c>
      <c r="K7" s="163">
        <v>4</v>
      </c>
      <c r="L7" s="163">
        <v>0</v>
      </c>
      <c r="M7" s="163">
        <v>36</v>
      </c>
      <c r="N7" s="163">
        <f t="shared" si="0"/>
        <v>43</v>
      </c>
      <c r="O7" s="163">
        <v>30</v>
      </c>
      <c r="P7" s="163">
        <f xml:space="preserve"> $I$1 * CEILING( 1* $O$7/ FLOOR(1* ( CEILING(($I$1 -20 - 4- 48- ($J$7 - 1) * 24 - 14) * (1 - $I$7/100), 1) - 4) / (MAX(1 * 3 + 4 + 2, ( 3 *1+ 1 * $K$7+ 3 * $L$7+ $M$7 )  )  + 2),1 ), 1 )/1024/1024</f>
        <v>7.8125E-3</v>
      </c>
      <c r="Q7" s="123"/>
      <c r="R7" s="275"/>
      <c r="S7" s="275"/>
      <c r="T7" s="275"/>
      <c r="U7" s="275"/>
      <c r="V7" s="275"/>
      <c r="W7" s="280"/>
      <c r="X7" s="280"/>
      <c r="Y7" s="281"/>
    </row>
    <row r="8" spans="2:25" ht="18" customHeight="1">
      <c r="B8" s="86"/>
      <c r="C8" s="284" t="s">
        <v>304</v>
      </c>
      <c r="D8" s="286">
        <v>3</v>
      </c>
      <c r="E8" s="87" t="s">
        <v>285</v>
      </c>
      <c r="F8" s="112"/>
      <c r="H8" s="163" t="s">
        <v>305</v>
      </c>
      <c r="I8" s="163">
        <v>10</v>
      </c>
      <c r="J8" s="163">
        <v>1</v>
      </c>
      <c r="K8" s="163">
        <v>2</v>
      </c>
      <c r="L8" s="163">
        <v>1</v>
      </c>
      <c r="M8" s="163">
        <v>1105</v>
      </c>
      <c r="N8" s="163">
        <f t="shared" si="0"/>
        <v>1113</v>
      </c>
      <c r="O8" s="163">
        <v>1</v>
      </c>
      <c r="P8" s="163">
        <f xml:space="preserve"> $I$1 * CEILING( 1* $O$8/ FLOOR(1* ( CEILING(($I$1 -20 - 4- 48- ($J$8 - 1) * 24 - 14) * (1 - $I$8/100), 1) - 4) / (MAX(1 * 3 + 4 + 2, ( 3 *1+ 1 * $K$8+ 3 * $L$8+ $M$8 )  )  + 2),1 ), 1 )/1024/1024</f>
        <v>7.8125E-3</v>
      </c>
      <c r="Q8" s="123"/>
      <c r="R8" s="275"/>
      <c r="S8" s="275"/>
      <c r="T8" s="275"/>
      <c r="U8" s="275"/>
      <c r="V8" s="275"/>
      <c r="W8" s="280"/>
      <c r="X8" s="280"/>
      <c r="Y8" s="281"/>
    </row>
    <row r="9" spans="2:25" ht="18" customHeight="1">
      <c r="B9" s="86"/>
      <c r="C9" s="287"/>
      <c r="D9" s="87"/>
      <c r="E9" s="87"/>
      <c r="F9" s="112"/>
      <c r="H9" s="163" t="s">
        <v>306</v>
      </c>
      <c r="I9" s="163">
        <v>10</v>
      </c>
      <c r="J9" s="163">
        <v>1</v>
      </c>
      <c r="K9" s="163">
        <v>15</v>
      </c>
      <c r="L9" s="163">
        <v>0</v>
      </c>
      <c r="M9" s="163">
        <v>123</v>
      </c>
      <c r="N9" s="163">
        <f t="shared" si="0"/>
        <v>141</v>
      </c>
      <c r="O9" s="163">
        <v>10</v>
      </c>
      <c r="P9" s="163">
        <f xml:space="preserve"> $I$1 * CEILING( 1* $O$9/ FLOOR(1* ( CEILING(($I$1 -20 - 4- 48- ($J$9 - 1) * 24 - 14) * (1 - $I$9/100), 1) - 4) / (MAX(1 * 3 + 4 + 2, ( 3 *1+ 1 * $K$9+ 3 * $L$9+ $M$9 )  )  + 2),1 ), 1 )/1024/1024</f>
        <v>7.8125E-3</v>
      </c>
      <c r="Q9" s="123" t="s">
        <v>307</v>
      </c>
      <c r="R9" s="275" t="s">
        <v>308</v>
      </c>
      <c r="S9" s="275"/>
      <c r="T9" s="275"/>
      <c r="U9" s="275"/>
      <c r="V9" s="275"/>
      <c r="W9" s="280"/>
      <c r="X9" s="280"/>
      <c r="Y9" s="281"/>
    </row>
    <row r="10" spans="2:25" ht="18" customHeight="1">
      <c r="B10" s="86"/>
      <c r="C10" s="101" t="s">
        <v>309</v>
      </c>
      <c r="D10" s="288"/>
      <c r="E10" s="101"/>
      <c r="F10" s="112"/>
      <c r="H10" s="163" t="s">
        <v>310</v>
      </c>
      <c r="I10" s="163">
        <v>10</v>
      </c>
      <c r="J10" s="163">
        <v>1</v>
      </c>
      <c r="K10" s="163">
        <v>28</v>
      </c>
      <c r="L10" s="163">
        <v>0</v>
      </c>
      <c r="M10" s="163">
        <v>134</v>
      </c>
      <c r="N10" s="163">
        <f t="shared" si="0"/>
        <v>165</v>
      </c>
      <c r="O10" s="163">
        <v>30</v>
      </c>
      <c r="P10" s="163">
        <f xml:space="preserve"> $I$1 * CEILING( 1* $O$10/ FLOOR(1* ( CEILING(($I$1 -20 - 4- 48- ($J$10 - 1) * 24 - 14) * (1 - $I$10/100), 1) - 4) / (MAX(1 * 3 + 4 + 2, ( 3 *1+ 1 * $K$10+ 3 * $L$10+ $M$10 )  )  + 2),1 ), 1 )/1024/1024</f>
        <v>7.8125E-3</v>
      </c>
      <c r="Q10" s="123" t="s">
        <v>311</v>
      </c>
      <c r="R10" s="275" t="s">
        <v>312</v>
      </c>
      <c r="S10" s="275"/>
      <c r="T10" s="275"/>
      <c r="U10" s="275"/>
      <c r="V10" s="275"/>
      <c r="W10" s="280"/>
      <c r="X10" s="280"/>
      <c r="Y10" s="281"/>
    </row>
    <row r="11" spans="2:25" ht="18" customHeight="1">
      <c r="B11" s="86"/>
      <c r="C11" s="289" t="s">
        <v>554</v>
      </c>
      <c r="D11" s="290">
        <v>1</v>
      </c>
      <c r="E11" s="101"/>
      <c r="F11" s="112"/>
      <c r="H11" s="163" t="s">
        <v>313</v>
      </c>
      <c r="I11" s="163">
        <v>10</v>
      </c>
      <c r="J11" s="163">
        <v>1</v>
      </c>
      <c r="K11" s="163">
        <v>15</v>
      </c>
      <c r="L11" s="163">
        <v>0</v>
      </c>
      <c r="M11" s="163">
        <v>82</v>
      </c>
      <c r="N11" s="163">
        <f t="shared" si="0"/>
        <v>100</v>
      </c>
      <c r="O11" s="163">
        <v>90</v>
      </c>
      <c r="P11" s="163">
        <f xml:space="preserve"> $I$1 * CEILING( 1* $O$11/ FLOOR(1* ( CEILING(($I$1 -20 - 4- 48- ($J$11 - 1) * 24 - 14) * (1 - $I$11/100), 1) - 4) / (MAX(1 * 3 + 4 + 2, ( 3 *1+ 1 * $K$11+ 3 * $L$11+ $M$11 )  )  + 2),1 ), 1 )/1024/1024</f>
        <v>1.5625E-2</v>
      </c>
      <c r="Q11" s="123" t="s">
        <v>314</v>
      </c>
      <c r="R11" s="275" t="s">
        <v>315</v>
      </c>
      <c r="S11" s="275"/>
      <c r="T11" s="275"/>
      <c r="U11" s="275"/>
      <c r="V11" s="275"/>
      <c r="W11" s="280"/>
      <c r="X11" s="280"/>
      <c r="Y11" s="281"/>
    </row>
    <row r="12" spans="2:25" ht="18" customHeight="1">
      <c r="B12" s="86"/>
      <c r="C12" s="291"/>
      <c r="D12" s="226"/>
      <c r="E12" s="101"/>
      <c r="F12" s="112"/>
      <c r="H12" s="163" t="s">
        <v>316</v>
      </c>
      <c r="I12" s="163">
        <v>10</v>
      </c>
      <c r="J12" s="163">
        <v>1</v>
      </c>
      <c r="K12" s="163">
        <v>255</v>
      </c>
      <c r="L12" s="163">
        <v>11</v>
      </c>
      <c r="M12" s="163">
        <v>3802</v>
      </c>
      <c r="N12" s="163">
        <f t="shared" si="0"/>
        <v>4093</v>
      </c>
      <c r="O12" s="163">
        <v>100</v>
      </c>
      <c r="P12" s="163">
        <f xml:space="preserve"> $I$1 * CEILING( 3* $O$12/ FLOOR(3* ( CEILING(($I$1 -20 - 4- 48- ($J$12 - 1) * 24 - 14) * (1 - $I$12/100), 1) - 4) / (MAX(1 * 3 + 4 + 2, ( 3 *1+ 1 * $K$12+ 3 * $L$12+ $M$12 )  )  + 2),1 ), 1 )/1024/1024</f>
        <v>0.46875</v>
      </c>
      <c r="Q12" s="123" t="s">
        <v>317</v>
      </c>
      <c r="R12" s="275" t="s">
        <v>318</v>
      </c>
      <c r="S12" s="275"/>
      <c r="T12" s="275"/>
      <c r="U12" s="275"/>
      <c r="V12" s="275"/>
      <c r="W12" s="280"/>
      <c r="X12" s="280"/>
      <c r="Y12" s="281"/>
    </row>
    <row r="13" spans="2:25" ht="18" customHeight="1">
      <c r="B13" s="86"/>
      <c r="C13" s="291" t="s">
        <v>319</v>
      </c>
      <c r="D13" s="226"/>
      <c r="E13" s="101"/>
      <c r="F13" s="112"/>
      <c r="H13" s="163" t="s">
        <v>528</v>
      </c>
      <c r="I13" s="163">
        <v>10</v>
      </c>
      <c r="J13" s="163">
        <v>1</v>
      </c>
      <c r="K13" s="163">
        <v>8</v>
      </c>
      <c r="L13" s="163">
        <v>0</v>
      </c>
      <c r="M13" s="163">
        <v>30</v>
      </c>
      <c r="N13" s="163">
        <f>3+1*K13+3*L13+M13</f>
        <v>41</v>
      </c>
      <c r="O13" s="163">
        <v>10</v>
      </c>
      <c r="P13" s="163">
        <f xml:space="preserve"> $I$1 * CEILING( 1* $O$13/ FLOOR(1* ( CEILING(($I$1 -20 - 4- 48- ($J$13 - 1) * 24 - 14) * (1 - $I$13/100), 1) - 4) / (MAX(1 * 3 + 4 + 2, ( 3 *1+ 1 * $K$13+ 3 * $L$13+ $M$13 )  )  + 2),1 ), 1 )/1024/1024</f>
        <v>7.8125E-3</v>
      </c>
      <c r="Q13" s="123"/>
      <c r="R13" s="275"/>
      <c r="S13" s="275"/>
      <c r="T13" s="275"/>
      <c r="U13" s="275"/>
      <c r="V13" s="275"/>
      <c r="W13" s="280"/>
      <c r="X13" s="280"/>
      <c r="Y13" s="281"/>
    </row>
    <row r="14" spans="2:25" ht="18" customHeight="1">
      <c r="B14" s="86"/>
      <c r="C14" s="101" t="s">
        <v>320</v>
      </c>
      <c r="D14" s="87"/>
      <c r="E14" s="87"/>
      <c r="F14" s="89"/>
      <c r="H14" s="163" t="s">
        <v>321</v>
      </c>
      <c r="I14" s="163">
        <v>10</v>
      </c>
      <c r="J14" s="163">
        <v>1</v>
      </c>
      <c r="K14" s="163">
        <v>22</v>
      </c>
      <c r="L14" s="163">
        <v>2</v>
      </c>
      <c r="M14" s="163">
        <v>832</v>
      </c>
      <c r="N14" s="163">
        <f t="shared" si="0"/>
        <v>863</v>
      </c>
      <c r="O14" s="163">
        <f>$O35 * 5</f>
        <v>11300</v>
      </c>
      <c r="P14" s="163">
        <f xml:space="preserve"> $I$1 * CEILING( 1* $O$14/ FLOOR(1* ( CEILING(($I$1 -20 - 4- 48- ($J$14 - 1) * 24 - 14) * (1 - $I$14/100), 1) - 4) / (MAX(1 * 3 + 4 + 2, ( 3 *1+ 1 * $K$14+ 3 * $L$14+ $M$14 )  )  + 2),1 ), 1 )/1024/1024</f>
        <v>11.0390625</v>
      </c>
      <c r="Q14" s="123" t="s">
        <v>322</v>
      </c>
      <c r="R14" s="275" t="s">
        <v>323</v>
      </c>
      <c r="S14" s="275"/>
      <c r="T14" s="275"/>
      <c r="U14" s="275"/>
      <c r="V14" s="275"/>
      <c r="W14" s="280"/>
      <c r="X14" s="280"/>
      <c r="Y14" s="281"/>
    </row>
    <row r="15" spans="2:25" ht="18" customHeight="1">
      <c r="B15" s="86"/>
      <c r="C15" s="87"/>
      <c r="D15" s="87"/>
      <c r="E15" s="87"/>
      <c r="F15" s="89"/>
      <c r="H15" s="163" t="s">
        <v>324</v>
      </c>
      <c r="I15" s="163">
        <v>10</v>
      </c>
      <c r="J15" s="163">
        <v>1</v>
      </c>
      <c r="K15" s="163">
        <v>14</v>
      </c>
      <c r="L15" s="163">
        <v>2</v>
      </c>
      <c r="M15" s="163">
        <v>606</v>
      </c>
      <c r="N15" s="163">
        <f t="shared" si="0"/>
        <v>629</v>
      </c>
      <c r="O15" s="163">
        <f>$O35</f>
        <v>2260</v>
      </c>
      <c r="P15" s="163">
        <f xml:space="preserve"> $I$1 * CEILING( 1* $O$15/ FLOOR(1* ( CEILING(($I$1 -20 - 4- 48- ($J$15 - 1) * 24 - 14) * (1 - $I$15/100), 1) - 4) / (MAX(1 * 3 + 4 + 2, ( 3 *1+ 1 * $K$15+ 3 * $L$15+ $M$15 )  )  + 2),1 ), 1 )/1024/1024</f>
        <v>1.609375</v>
      </c>
      <c r="Q15" s="123" t="s">
        <v>325</v>
      </c>
      <c r="R15" s="275" t="s">
        <v>326</v>
      </c>
      <c r="S15" s="275"/>
      <c r="T15" s="275"/>
      <c r="U15" s="275"/>
      <c r="V15" s="275"/>
      <c r="W15" s="280"/>
      <c r="X15" s="280"/>
      <c r="Y15" s="281"/>
    </row>
    <row r="16" spans="2:25" ht="18" customHeight="1">
      <c r="B16" s="86"/>
      <c r="C16" s="292" t="s">
        <v>327</v>
      </c>
      <c r="D16" s="342" t="s">
        <v>328</v>
      </c>
      <c r="E16" s="342" t="s">
        <v>329</v>
      </c>
      <c r="F16" s="89"/>
      <c r="H16" s="163" t="s">
        <v>330</v>
      </c>
      <c r="I16" s="163">
        <v>10</v>
      </c>
      <c r="J16" s="163">
        <v>1</v>
      </c>
      <c r="K16" s="163">
        <v>15</v>
      </c>
      <c r="L16" s="163">
        <v>1</v>
      </c>
      <c r="M16" s="163">
        <v>1185</v>
      </c>
      <c r="N16" s="163">
        <f t="shared" si="0"/>
        <v>1206</v>
      </c>
      <c r="O16" s="163">
        <f>$O92*0.01*$D11</f>
        <v>22.6</v>
      </c>
      <c r="P16" s="163">
        <f xml:space="preserve"> $I$1 * CEILING( 1* $O$16/ FLOOR(1* ( CEILING(($I$1 -20 - 4- 48- ($J$16 - 1) * 24 - 14) * (1 - $I$16/100), 1) - 4) / (MAX(1 * 3 + 4 + 2, ( 3 *1+ 1 * $K$16+ 3 * $L$16+ $M$16 )  )  + 2),1 ), 1 )/1024/1024</f>
        <v>3.125E-2</v>
      </c>
      <c r="Q16" s="123"/>
      <c r="R16" s="275"/>
      <c r="S16" s="275"/>
      <c r="T16" s="275"/>
      <c r="U16" s="275"/>
      <c r="V16" s="275"/>
      <c r="W16" s="280"/>
      <c r="X16" s="280"/>
      <c r="Y16" s="281"/>
    </row>
    <row r="17" spans="2:25" ht="18" customHeight="1">
      <c r="B17" s="86"/>
      <c r="C17" s="292" t="s">
        <v>331</v>
      </c>
      <c r="D17" s="343"/>
      <c r="E17" s="343"/>
      <c r="F17" s="89"/>
      <c r="H17" s="163" t="s">
        <v>332</v>
      </c>
      <c r="I17" s="163">
        <v>10</v>
      </c>
      <c r="J17" s="163">
        <v>1</v>
      </c>
      <c r="K17" s="163">
        <v>15</v>
      </c>
      <c r="L17" s="163">
        <v>3</v>
      </c>
      <c r="M17" s="163">
        <v>1129</v>
      </c>
      <c r="N17" s="163">
        <v>1156</v>
      </c>
      <c r="O17" s="163">
        <f>$O18/8*0.25*$D11</f>
        <v>312.5</v>
      </c>
      <c r="P17" s="163">
        <f xml:space="preserve"> $I$1 * CEILING( 1* $O$17/ FLOOR(1* ( CEILING(($I$1 -20 - 4- 48- ($J$17 - 1) * 24 - 14) * (1 - $I$17/100), 1) - 4) / (MAX(1 * 3 + 4 + 2, ( 3 *1+ 1 * $K$17+ 3 * $L$17+ $M$17 )  )  + 2),1 ), 1 )/1024/1024</f>
        <v>0.4140625</v>
      </c>
      <c r="Q17" s="123"/>
      <c r="R17" s="275"/>
      <c r="S17" s="275"/>
      <c r="T17" s="275"/>
      <c r="U17" s="275"/>
      <c r="V17" s="275"/>
      <c r="W17" s="280"/>
      <c r="X17" s="280"/>
      <c r="Y17" s="281"/>
    </row>
    <row r="18" spans="2:25" ht="18" customHeight="1">
      <c r="B18" s="86"/>
      <c r="C18" s="293" t="s">
        <v>333</v>
      </c>
      <c r="D18" s="290">
        <v>200</v>
      </c>
      <c r="E18" s="290">
        <v>60</v>
      </c>
      <c r="F18" s="89"/>
      <c r="H18" s="163" t="s">
        <v>334</v>
      </c>
      <c r="I18" s="163">
        <v>10</v>
      </c>
      <c r="J18" s="163">
        <v>1</v>
      </c>
      <c r="K18" s="163">
        <v>37</v>
      </c>
      <c r="L18" s="163">
        <v>4</v>
      </c>
      <c r="M18" s="163">
        <v>3001</v>
      </c>
      <c r="N18" s="163">
        <f t="shared" si="0"/>
        <v>3053</v>
      </c>
      <c r="O18" s="163">
        <v>10000</v>
      </c>
      <c r="P18" s="163">
        <f xml:space="preserve"> $I$1 * CEILING( 1* $O$18/ FLOOR(1* ( CEILING(($I$1 -20 - 4- 48- ($J$18 - 1) * 24 - 14) * (1 - $I$18/100), 1) - 4) / (MAX(1 * 3 + 4 + 2, ( 3 *1+ 1 * $K$18+ 3 * $L$18+ $M$18 )  )  + 2),1 ), 1 )/1024/1024</f>
        <v>39.0625</v>
      </c>
      <c r="Q18" s="123" t="s">
        <v>335</v>
      </c>
      <c r="R18" s="275"/>
      <c r="S18" s="275"/>
      <c r="T18" s="275"/>
      <c r="U18" s="275"/>
      <c r="V18" s="275"/>
      <c r="W18" s="280"/>
      <c r="X18" s="280"/>
      <c r="Y18" s="281"/>
    </row>
    <row r="19" spans="2:25" ht="18" customHeight="1">
      <c r="B19" s="86"/>
      <c r="C19" s="87"/>
      <c r="D19" s="87"/>
      <c r="E19" s="87"/>
      <c r="F19" s="89"/>
      <c r="H19" s="163" t="s">
        <v>336</v>
      </c>
      <c r="I19" s="163">
        <v>10</v>
      </c>
      <c r="J19" s="163">
        <v>1</v>
      </c>
      <c r="K19" s="163">
        <v>129</v>
      </c>
      <c r="L19" s="163">
        <v>0</v>
      </c>
      <c r="M19" s="163">
        <v>391</v>
      </c>
      <c r="N19" s="163">
        <f t="shared" si="0"/>
        <v>523</v>
      </c>
      <c r="O19" s="163">
        <v>100</v>
      </c>
      <c r="P19" s="163">
        <f xml:space="preserve"> $I$1 * CEILING( 1* $O$19/ FLOOR(1* ( CEILING(($I$1 -20 - 4- 48- ($J$19 - 1) * 24 - 14) * (1 - $I$19/100), 1) - 4) / (MAX(1 * 3 + 4 + 2, ( 3 *1+ 1 * $K$19+ 3 * $L$19+ $M$19 )  )  + 2),1 ), 1 )/1024/1024</f>
        <v>6.25E-2</v>
      </c>
      <c r="Q19" s="123" t="s">
        <v>337</v>
      </c>
      <c r="R19" s="275" t="s">
        <v>338</v>
      </c>
      <c r="S19" s="275"/>
      <c r="T19" s="275"/>
      <c r="U19" s="275"/>
      <c r="V19" s="275"/>
      <c r="W19" s="280"/>
      <c r="X19" s="280"/>
      <c r="Y19" s="281"/>
    </row>
    <row r="20" spans="2:25" ht="18" customHeight="1">
      <c r="B20" s="86"/>
      <c r="C20" s="292" t="s">
        <v>339</v>
      </c>
      <c r="D20" s="342" t="s">
        <v>340</v>
      </c>
      <c r="E20" s="342" t="s">
        <v>341</v>
      </c>
      <c r="F20" s="89"/>
      <c r="H20" s="163" t="s">
        <v>342</v>
      </c>
      <c r="I20" s="163">
        <v>10</v>
      </c>
      <c r="J20" s="163">
        <v>1</v>
      </c>
      <c r="K20" s="163">
        <v>21</v>
      </c>
      <c r="L20" s="163">
        <v>1</v>
      </c>
      <c r="M20" s="163">
        <v>463</v>
      </c>
      <c r="N20" s="163">
        <f t="shared" si="0"/>
        <v>490</v>
      </c>
      <c r="O20" s="163">
        <f>$O35*3</f>
        <v>6780</v>
      </c>
      <c r="P20" s="163">
        <f xml:space="preserve"> $I$1 * CEILING( 1* $O$20/ FLOOR(1* ( CEILING(($I$1 -20 - 4- 48- ($J$20 - 1) * 24 - 14) * (1 - $I$20/100), 1) - 4) / (MAX(1 * 3 + 4 + 2, ( 3 *1+ 1 * $K$20+ 3 * $L$20+ $M$20 )  )  + 2),1 ), 1 )/1024/1024</f>
        <v>3.7890625</v>
      </c>
      <c r="Q20" s="123" t="s">
        <v>343</v>
      </c>
      <c r="R20" s="275" t="s">
        <v>344</v>
      </c>
      <c r="S20" s="275"/>
      <c r="T20" s="275"/>
      <c r="U20" s="275"/>
      <c r="V20" s="275"/>
      <c r="W20" s="280"/>
      <c r="X20" s="280"/>
      <c r="Y20" s="281"/>
    </row>
    <row r="21" spans="2:25" ht="18" customHeight="1">
      <c r="B21" s="86"/>
      <c r="C21" s="292" t="s">
        <v>345</v>
      </c>
      <c r="D21" s="343"/>
      <c r="E21" s="343"/>
      <c r="F21" s="89"/>
      <c r="H21" s="163" t="s">
        <v>346</v>
      </c>
      <c r="I21" s="163">
        <v>10</v>
      </c>
      <c r="J21" s="163">
        <v>1</v>
      </c>
      <c r="K21" s="163">
        <v>20</v>
      </c>
      <c r="L21" s="163">
        <v>0</v>
      </c>
      <c r="M21" s="163">
        <v>117</v>
      </c>
      <c r="N21" s="163">
        <f t="shared" si="0"/>
        <v>140</v>
      </c>
      <c r="O21" s="163">
        <v>30000</v>
      </c>
      <c r="P21" s="163">
        <f xml:space="preserve"> $I$1 * CEILING( 1* $O$21/ FLOOR(1* ( CEILING(($I$1 -20 - 4- 48- ($J$21 - 1) * 24 - 14) * (1 - $I$21/100), 1) - 4) / (MAX(1 * 3 + 4 + 2, ( 3 *1+ 1 * $K$21+ 3 * $L$21+ $M$21 )  )  + 2),1 ), 1 )/1024/1024</f>
        <v>4.6015625</v>
      </c>
      <c r="Q21" s="123"/>
      <c r="R21" s="275"/>
      <c r="S21" s="275"/>
      <c r="T21" s="275"/>
      <c r="U21" s="275"/>
      <c r="V21" s="275"/>
      <c r="W21" s="280"/>
      <c r="X21" s="280"/>
      <c r="Y21" s="281"/>
    </row>
    <row r="22" spans="2:25" ht="18" customHeight="1">
      <c r="B22" s="86"/>
      <c r="C22" s="293" t="s">
        <v>347</v>
      </c>
      <c r="D22" s="294" t="s">
        <v>340</v>
      </c>
      <c r="E22" s="290">
        <v>255</v>
      </c>
      <c r="F22" s="89"/>
      <c r="H22" s="163" t="s">
        <v>348</v>
      </c>
      <c r="I22" s="163">
        <v>10</v>
      </c>
      <c r="J22" s="163">
        <v>1</v>
      </c>
      <c r="K22" s="163">
        <v>12</v>
      </c>
      <c r="L22" s="163">
        <v>0</v>
      </c>
      <c r="M22" s="163">
        <v>89</v>
      </c>
      <c r="N22" s="163">
        <f t="shared" si="0"/>
        <v>104</v>
      </c>
      <c r="O22" s="163">
        <v>10</v>
      </c>
      <c r="P22" s="163">
        <f xml:space="preserve"> $I$1 * CEILING( 1* $O$22/ FLOOR(1* ( CEILING(($I$1 -20 - 4- 48- ($J$22 - 1) * 24 - 14) * (1 - $I$22/100), 1) - 4) / (MAX(1 * 3 + 4 + 2, ( 3 *1+ 1 * $K$22+ 3 * $L$22+ $M$22 )  )  + 2),1 ), 1 )/1024/1024</f>
        <v>7.8125E-3</v>
      </c>
      <c r="Q22" s="123"/>
      <c r="R22" s="275"/>
      <c r="S22" s="275"/>
      <c r="T22" s="275"/>
      <c r="U22" s="275"/>
      <c r="V22" s="275"/>
      <c r="W22" s="280"/>
      <c r="X22" s="280"/>
      <c r="Y22" s="281"/>
    </row>
    <row r="23" spans="2:25" ht="18" customHeight="1">
      <c r="B23" s="86"/>
      <c r="C23" s="87"/>
      <c r="D23" s="87"/>
      <c r="E23" s="87"/>
      <c r="F23" s="89"/>
      <c r="H23" s="163" t="s">
        <v>349</v>
      </c>
      <c r="I23" s="163">
        <v>10</v>
      </c>
      <c r="J23" s="163">
        <v>1</v>
      </c>
      <c r="K23" s="163">
        <v>12</v>
      </c>
      <c r="L23" s="163">
        <v>0</v>
      </c>
      <c r="M23" s="163">
        <v>58</v>
      </c>
      <c r="N23" s="163">
        <f t="shared" si="0"/>
        <v>73</v>
      </c>
      <c r="O23" s="163">
        <v>1000</v>
      </c>
      <c r="P23" s="163">
        <f xml:space="preserve"> $I$1 * CEILING( 1* $O$23/ FLOOR(1* ( CEILING(($I$1 -20 - 4- 48- ($J$23 - 1) * 24 - 14) * (1 - $I$23/100), 1) - 4) / (MAX(1 * 3 + 4 + 2, ( 3 *1+ 1 * $K$23+ 3 * $L$23+ $M$23 )  )  + 2),1 ), 1 )/1024/1024</f>
        <v>8.59375E-2</v>
      </c>
      <c r="Q23" s="123"/>
      <c r="R23" s="275"/>
      <c r="S23" s="275"/>
      <c r="T23" s="275"/>
      <c r="U23" s="275"/>
      <c r="V23" s="275"/>
      <c r="W23" s="280"/>
      <c r="X23" s="280"/>
      <c r="Y23" s="281"/>
    </row>
    <row r="24" spans="2:25" ht="18" customHeight="1">
      <c r="B24" s="86"/>
      <c r="C24" s="340" t="s">
        <v>350</v>
      </c>
      <c r="D24" s="342" t="s">
        <v>351</v>
      </c>
      <c r="E24" s="342" t="s">
        <v>341</v>
      </c>
      <c r="F24" s="89"/>
      <c r="H24" s="163" t="s">
        <v>352</v>
      </c>
      <c r="I24" s="163">
        <v>10</v>
      </c>
      <c r="J24" s="163">
        <v>1</v>
      </c>
      <c r="K24" s="163">
        <v>25</v>
      </c>
      <c r="L24" s="163">
        <v>0</v>
      </c>
      <c r="M24" s="163">
        <v>121</v>
      </c>
      <c r="N24" s="163">
        <f t="shared" si="0"/>
        <v>149</v>
      </c>
      <c r="O24" s="163">
        <v>100</v>
      </c>
      <c r="P24" s="163">
        <f xml:space="preserve"> $I$1 * CEILING( 1* $O$24/ FLOOR(1* ( CEILING(($I$1 -20 - 4- 48- ($J$24 - 1) * 24 - 14) * (1 - $I$24/100), 1) - 4) / (MAX(1 * 3 + 4 + 2, ( 3 *1+ 1 * $K$24+ 3 * $L$24+ $M$24 )  )  + 2),1 ), 1 )/1024/1024</f>
        <v>2.34375E-2</v>
      </c>
      <c r="Q24" s="123"/>
      <c r="R24" s="275"/>
      <c r="S24" s="275"/>
      <c r="T24" s="275"/>
      <c r="U24" s="275"/>
      <c r="V24" s="275"/>
      <c r="W24" s="280"/>
      <c r="X24" s="280"/>
      <c r="Y24" s="281"/>
    </row>
    <row r="25" spans="2:25" ht="18" customHeight="1">
      <c r="B25" s="86"/>
      <c r="C25" s="341"/>
      <c r="D25" s="343"/>
      <c r="E25" s="343"/>
      <c r="F25" s="89"/>
      <c r="H25" s="163" t="s">
        <v>353</v>
      </c>
      <c r="I25" s="163">
        <v>10</v>
      </c>
      <c r="J25" s="163">
        <v>1</v>
      </c>
      <c r="K25" s="163">
        <v>43</v>
      </c>
      <c r="L25" s="163">
        <v>0</v>
      </c>
      <c r="M25" s="163">
        <v>284</v>
      </c>
      <c r="N25" s="163">
        <f t="shared" si="0"/>
        <v>330</v>
      </c>
      <c r="O25" s="163">
        <f>($D7*10)+(($D7*($D5-1)*3))+($D7*$D8/100*$D5*100)</f>
        <v>26000</v>
      </c>
      <c r="P25" s="163">
        <f xml:space="preserve"> $I$1 * CEILING( 1* $O$25/ FLOOR(1* ( CEILING(($I$1 -20 - 4- 48- ($J$25 - 1) * 24 - 14) * (1 - $I$25/100), 1) - 4) / (MAX(1 * 3 + 4 + 2, ( 3 *1+ 1 * $K$25+ 3 * $L$25+ $M$25 )  )  + 2),1 ), 1 )/1024/1024</f>
        <v>9.6796875</v>
      </c>
      <c r="Q25" s="123" t="s">
        <v>354</v>
      </c>
      <c r="R25" s="275" t="s">
        <v>355</v>
      </c>
      <c r="S25" s="275"/>
      <c r="T25" s="275"/>
      <c r="U25" s="275"/>
      <c r="V25" s="275"/>
      <c r="W25" s="280"/>
      <c r="X25" s="280"/>
      <c r="Y25" s="281"/>
    </row>
    <row r="26" spans="2:25" ht="18" customHeight="1">
      <c r="B26" s="86"/>
      <c r="C26" s="293" t="s">
        <v>356</v>
      </c>
      <c r="D26" s="290">
        <v>254</v>
      </c>
      <c r="E26" s="290">
        <v>255</v>
      </c>
      <c r="F26" s="89"/>
      <c r="H26" s="163" t="s">
        <v>357</v>
      </c>
      <c r="I26" s="163">
        <v>10</v>
      </c>
      <c r="J26" s="163">
        <v>1</v>
      </c>
      <c r="K26" s="163">
        <v>13</v>
      </c>
      <c r="L26" s="163">
        <v>0</v>
      </c>
      <c r="M26" s="163">
        <v>123</v>
      </c>
      <c r="N26" s="163">
        <f t="shared" si="0"/>
        <v>139</v>
      </c>
      <c r="O26" s="163">
        <f xml:space="preserve"> $O35 * 4</f>
        <v>9040</v>
      </c>
      <c r="P26" s="163">
        <f xml:space="preserve"> $I$1 * CEILING( 1* $O$26/ FLOOR(1* ( CEILING(($I$1 -20 - 4- 48- ($J$26 - 1) * 24 - 14) * (1 - $I$26/100), 1) - 4) / (MAX(1 * 3 + 4 + 2, ( 3 *1+ 1 * $K$26+ 3 * $L$26+ $M$26 )  )  + 2),1 ), 1 )/1024/1024</f>
        <v>1.390625</v>
      </c>
      <c r="Q26" s="123" t="s">
        <v>539</v>
      </c>
      <c r="R26" s="275" t="s">
        <v>542</v>
      </c>
      <c r="S26" s="275"/>
      <c r="T26" s="275"/>
      <c r="U26" s="275"/>
      <c r="V26" s="275"/>
      <c r="W26" s="280"/>
      <c r="X26" s="280"/>
      <c r="Y26" s="281"/>
    </row>
    <row r="27" spans="2:25" ht="18" customHeight="1">
      <c r="B27" s="86"/>
      <c r="C27" s="87"/>
      <c r="D27" s="87"/>
      <c r="E27" s="87"/>
      <c r="F27" s="89"/>
      <c r="H27" s="163" t="s">
        <v>358</v>
      </c>
      <c r="I27" s="163">
        <v>10</v>
      </c>
      <c r="J27" s="163">
        <v>1</v>
      </c>
      <c r="K27" s="163">
        <v>15</v>
      </c>
      <c r="L27" s="163">
        <v>3</v>
      </c>
      <c r="M27" s="163">
        <v>912</v>
      </c>
      <c r="N27" s="163">
        <f t="shared" si="0"/>
        <v>939</v>
      </c>
      <c r="O27" s="163">
        <f>$O35</f>
        <v>2260</v>
      </c>
      <c r="P27" s="163">
        <f xml:space="preserve"> $I$1 * CEILING( 1* $O$27/ FLOOR(1* ( CEILING(($I$1 -20 - 4- 48- ($J$27 - 1) * 24 - 14) * (1 - $I$27/100), 1) - 4) / (MAX(1 * 3 + 4 + 2, ( 3 *1+ 1 * $K$27+ 3 * $L$27+ $M$27 )  )  + 2),1 ), 1 )/1024/1024</f>
        <v>2.5234375</v>
      </c>
      <c r="Q27" s="123" t="s">
        <v>359</v>
      </c>
      <c r="R27" s="275" t="s">
        <v>360</v>
      </c>
      <c r="S27" s="275"/>
      <c r="T27" s="275"/>
      <c r="U27" s="275"/>
      <c r="V27" s="275"/>
      <c r="W27" s="280"/>
      <c r="X27" s="280"/>
      <c r="Y27" s="281"/>
    </row>
    <row r="28" spans="2:25" ht="18" customHeight="1">
      <c r="B28" s="86"/>
      <c r="C28" s="340" t="s">
        <v>361</v>
      </c>
      <c r="D28" s="342" t="s">
        <v>362</v>
      </c>
      <c r="E28" s="342" t="s">
        <v>341</v>
      </c>
      <c r="F28" s="89"/>
      <c r="H28" s="163" t="s">
        <v>363</v>
      </c>
      <c r="I28" s="163">
        <v>10</v>
      </c>
      <c r="J28" s="163">
        <v>1</v>
      </c>
      <c r="K28" s="163">
        <v>74</v>
      </c>
      <c r="L28" s="163">
        <v>1</v>
      </c>
      <c r="M28" s="163">
        <v>1595</v>
      </c>
      <c r="N28" s="163">
        <f t="shared" si="0"/>
        <v>1675</v>
      </c>
      <c r="O28" s="163">
        <v>1</v>
      </c>
      <c r="P28" s="163">
        <f xml:space="preserve"> $I$1 * CEILING( 1* $O$28/ FLOOR(1* ( CEILING(($I$1 -20 - 4- 48- ($J$28 - 1) * 24 - 14) * (1 - $I$28/100), 1) - 4) / (MAX(1 * 3 + 4 + 2, ( 3 *1+ 1 * $K$28+ 3 * $L$28+ $M$28 )  )  + 2),1 ), 1 )/1024/1024</f>
        <v>7.8125E-3</v>
      </c>
      <c r="Q28" s="123" t="s">
        <v>364</v>
      </c>
      <c r="R28" s="275" t="s">
        <v>365</v>
      </c>
      <c r="S28" s="275"/>
      <c r="T28" s="275"/>
      <c r="U28" s="275"/>
      <c r="V28" s="275"/>
      <c r="W28" s="280"/>
      <c r="X28" s="280"/>
      <c r="Y28" s="281"/>
    </row>
    <row r="29" spans="2:25" ht="18" customHeight="1">
      <c r="B29" s="86"/>
      <c r="C29" s="341"/>
      <c r="D29" s="343"/>
      <c r="E29" s="343"/>
      <c r="F29" s="89"/>
      <c r="H29" s="163" t="s">
        <v>366</v>
      </c>
      <c r="I29" s="163">
        <v>10</v>
      </c>
      <c r="J29" s="163">
        <v>1</v>
      </c>
      <c r="K29" s="163">
        <v>8</v>
      </c>
      <c r="L29" s="163">
        <v>8</v>
      </c>
      <c r="M29" s="163">
        <v>2087</v>
      </c>
      <c r="N29" s="163">
        <f t="shared" si="0"/>
        <v>2122</v>
      </c>
      <c r="O29" s="163">
        <v>20</v>
      </c>
      <c r="P29" s="163">
        <f xml:space="preserve"> $I$1 * CEILING( 2* $O$29/ FLOOR(2* ( CEILING(($I$1 -20 - 4- 48- ($J$29 - 1) * 24 - 14) * (1 - $I$29/100), 1) - 4) / (MAX(1 * 3 + 4 + 2, ( 3 *1+ 1 * $K$29+ 3 * $L$29+ $M$29 )  )  + 2),1 ), 1 )/1024/1024</f>
        <v>5.46875E-2</v>
      </c>
      <c r="Q29" s="123" t="s">
        <v>367</v>
      </c>
      <c r="R29" s="275"/>
      <c r="S29" s="275"/>
      <c r="T29" s="275"/>
      <c r="U29" s="275"/>
      <c r="V29" s="275"/>
      <c r="W29" s="280"/>
      <c r="X29" s="280"/>
      <c r="Y29" s="281"/>
    </row>
    <row r="30" spans="2:25" ht="18" customHeight="1">
      <c r="B30" s="86"/>
      <c r="C30" s="295" t="s">
        <v>368</v>
      </c>
      <c r="D30" s="290">
        <v>30</v>
      </c>
      <c r="E30" s="290">
        <v>255</v>
      </c>
      <c r="F30" s="89"/>
      <c r="H30" s="163" t="s">
        <v>369</v>
      </c>
      <c r="I30" s="163">
        <v>10</v>
      </c>
      <c r="J30" s="163">
        <v>1</v>
      </c>
      <c r="K30" s="163">
        <v>15</v>
      </c>
      <c r="L30" s="163">
        <v>0</v>
      </c>
      <c r="M30" s="163">
        <v>105</v>
      </c>
      <c r="N30" s="163">
        <f t="shared" si="0"/>
        <v>123</v>
      </c>
      <c r="O30" s="163">
        <v>25</v>
      </c>
      <c r="P30" s="163">
        <f xml:space="preserve"> $I$1 * CEILING( 1* $O$30/ FLOOR(1* ( CEILING(($I$1 -20 - 4- 48- ($J$30 - 1) * 24 - 14) * (1 - $I$30/100), 1) - 4) / (MAX(1 * 3 + 4 + 2, ( 3 *1+ 1 * $K$30+ 3 * $L$30+ $M$30 )  )  + 2),1 ), 1 )/1024/1024</f>
        <v>7.8125E-3</v>
      </c>
      <c r="Q30" s="123" t="s">
        <v>370</v>
      </c>
      <c r="R30" s="275"/>
      <c r="S30" s="275"/>
      <c r="T30" s="275"/>
      <c r="U30" s="275"/>
      <c r="V30" s="275"/>
      <c r="W30" s="280"/>
      <c r="X30" s="280"/>
      <c r="Y30" s="281"/>
    </row>
    <row r="31" spans="2:25" ht="18" customHeight="1">
      <c r="B31" s="86"/>
      <c r="C31" s="295" t="s">
        <v>371</v>
      </c>
      <c r="D31" s="290">
        <v>30</v>
      </c>
      <c r="E31" s="290">
        <v>255</v>
      </c>
      <c r="F31" s="89"/>
      <c r="H31" s="163" t="s">
        <v>372</v>
      </c>
      <c r="I31" s="163">
        <v>10</v>
      </c>
      <c r="J31" s="163">
        <v>1</v>
      </c>
      <c r="K31" s="163">
        <v>14</v>
      </c>
      <c r="L31" s="163">
        <v>4</v>
      </c>
      <c r="M31" s="163">
        <v>1111</v>
      </c>
      <c r="N31" s="163">
        <f t="shared" si="0"/>
        <v>1140</v>
      </c>
      <c r="O31" s="163">
        <f xml:space="preserve"> $O35*10</f>
        <v>22600</v>
      </c>
      <c r="P31" s="163">
        <f xml:space="preserve"> $I$1 * CEILING( 1* $O$31/ FLOOR(1* ( CEILING(($I$1 -20 - 4- 48- ($J$31 - 1) * 24 - 14) * (1 - $I$31/100), 1) - 4) / (MAX(1 * 3 + 4 + 2, ( 3 *1+ 1 * $K$31+ 3 * $L$31+ $M$31 )  )  + 2),1 ), 1 )/1024/1024</f>
        <v>29.4296875</v>
      </c>
      <c r="Q31" s="123" t="s">
        <v>373</v>
      </c>
      <c r="R31" s="275" t="s">
        <v>374</v>
      </c>
      <c r="S31" s="275"/>
      <c r="T31" s="275"/>
      <c r="U31" s="275"/>
      <c r="V31" s="275"/>
      <c r="W31" s="280"/>
      <c r="X31" s="280"/>
      <c r="Y31" s="281"/>
    </row>
    <row r="32" spans="2:25" ht="18" customHeight="1">
      <c r="B32" s="86"/>
      <c r="C32" s="293" t="s">
        <v>555</v>
      </c>
      <c r="D32" s="290">
        <v>10</v>
      </c>
      <c r="E32" s="290">
        <v>255</v>
      </c>
      <c r="F32" s="89"/>
      <c r="H32" s="163" t="s">
        <v>375</v>
      </c>
      <c r="I32" s="163">
        <v>10</v>
      </c>
      <c r="J32" s="163">
        <v>1</v>
      </c>
      <c r="K32" s="163">
        <v>12</v>
      </c>
      <c r="L32" s="163">
        <v>0</v>
      </c>
      <c r="M32" s="163">
        <v>70</v>
      </c>
      <c r="N32" s="163">
        <f t="shared" si="0"/>
        <v>85</v>
      </c>
      <c r="O32" s="163">
        <f>$D7*20</f>
        <v>40000</v>
      </c>
      <c r="P32" s="163">
        <f xml:space="preserve"> $I$1 * CEILING( 1* $O$32/ FLOOR(1* ( CEILING(($I$1 -20 - 4- 48- ($J$32 - 1) * 24 - 14) * (1 - $I$32/100), 1) - 4) / (MAX(1 * 3 + 4 + 2, ( 3 *1+ 1 * $K$32+ 3 * $L$32+ $M$32 )  )  + 2),1 ), 1 )/1024/1024</f>
        <v>3.765625</v>
      </c>
      <c r="Q32" s="123" t="s">
        <v>376</v>
      </c>
      <c r="R32" s="275" t="s">
        <v>377</v>
      </c>
      <c r="S32" s="275"/>
      <c r="T32" s="275"/>
      <c r="U32" s="275"/>
      <c r="V32" s="275"/>
      <c r="W32" s="280"/>
      <c r="X32" s="280"/>
      <c r="Y32" s="281"/>
    </row>
    <row r="33" spans="2:25" ht="18" customHeight="1">
      <c r="B33" s="86"/>
      <c r="C33" s="87" t="s">
        <v>378</v>
      </c>
      <c r="D33" s="87"/>
      <c r="E33" s="87"/>
      <c r="F33" s="89"/>
      <c r="H33" s="163" t="s">
        <v>379</v>
      </c>
      <c r="I33" s="163">
        <v>10</v>
      </c>
      <c r="J33" s="163">
        <v>1</v>
      </c>
      <c r="K33" s="163">
        <v>15</v>
      </c>
      <c r="L33" s="163">
        <v>1</v>
      </c>
      <c r="M33" s="163">
        <v>359</v>
      </c>
      <c r="N33" s="163">
        <v>635</v>
      </c>
      <c r="O33" s="163">
        <f>$O35 * 10</f>
        <v>22600</v>
      </c>
      <c r="P33" s="163">
        <f xml:space="preserve"> $I$1 * CEILING( 1* $O$33/ FLOOR(1* ( CEILING(($I$1 -20 - 4- 48- ($J$33 - 1) * 24 - 14) * (1 - $I$33/100), 1) - 4) / (MAX(1 * 3 + 4 + 2, ( 3 *1+ 1 * $K$33+ 3 * $L$33+ $M$33 )  )  + 2),1 ), 1 )/1024/1024</f>
        <v>9.296875</v>
      </c>
      <c r="Q33" s="123" t="s">
        <v>380</v>
      </c>
      <c r="R33" s="275" t="s">
        <v>374</v>
      </c>
      <c r="S33" s="275"/>
      <c r="T33" s="275"/>
      <c r="U33" s="275"/>
      <c r="V33" s="275"/>
      <c r="W33" s="280"/>
      <c r="X33" s="280"/>
      <c r="Y33" s="281"/>
    </row>
    <row r="34" spans="2:25" ht="18" customHeight="1">
      <c r="B34" s="86"/>
      <c r="C34" s="87"/>
      <c r="D34" s="87"/>
      <c r="E34" s="87"/>
      <c r="F34" s="89"/>
      <c r="H34" s="163" t="s">
        <v>381</v>
      </c>
      <c r="I34" s="163">
        <v>10</v>
      </c>
      <c r="J34" s="163">
        <v>1</v>
      </c>
      <c r="K34" s="163">
        <v>49</v>
      </c>
      <c r="L34" s="163">
        <v>1</v>
      </c>
      <c r="M34" s="163">
        <v>803</v>
      </c>
      <c r="N34" s="163">
        <f t="shared" si="0"/>
        <v>858</v>
      </c>
      <c r="O34" s="163">
        <f>$D7*2</f>
        <v>4000</v>
      </c>
      <c r="P34" s="163">
        <f xml:space="preserve"> $I$1 * CEILING( 1* $O$34/ FLOOR(1* ( CEILING(($I$1 -20 - 4- 48- ($J$34 - 1) * 24 - 14) * (1 - $I$34/100), 1) - 4) / (MAX(1 * 3 + 4 + 2, ( 3 *1+ 1 * $K$34+ 3 * $L$34+ $M$34 )  )  + 2),1 ), 1 )/1024/1024</f>
        <v>3.90625</v>
      </c>
      <c r="Q34" s="123" t="s">
        <v>382</v>
      </c>
      <c r="R34" s="275" t="s">
        <v>383</v>
      </c>
      <c r="S34" s="275"/>
      <c r="T34" s="275"/>
      <c r="U34" s="275"/>
      <c r="V34" s="275"/>
      <c r="W34" s="280"/>
      <c r="X34" s="280"/>
      <c r="Y34" s="281"/>
    </row>
    <row r="35" spans="2:25" ht="18" customHeight="1">
      <c r="B35" s="86"/>
      <c r="C35" s="340" t="s">
        <v>384</v>
      </c>
      <c r="D35" s="342" t="s">
        <v>385</v>
      </c>
      <c r="E35" s="342" t="s">
        <v>386</v>
      </c>
      <c r="F35" s="89"/>
      <c r="H35" s="163" t="s">
        <v>387</v>
      </c>
      <c r="I35" s="163">
        <v>10</v>
      </c>
      <c r="J35" s="163">
        <v>1</v>
      </c>
      <c r="K35" s="163">
        <v>249</v>
      </c>
      <c r="L35" s="163">
        <v>0</v>
      </c>
      <c r="M35" s="163">
        <v>3844</v>
      </c>
      <c r="N35" s="163">
        <f>3+1*K35+3*L35+M35</f>
        <v>4096</v>
      </c>
      <c r="O35" s="163">
        <f>$D7+($D7*0.1)+($D7*$D8/100)*$D5</f>
        <v>2260</v>
      </c>
      <c r="P35" s="163">
        <f xml:space="preserve"> $I$1 * CEILING( 3* $O$35/ FLOOR(3* ( CEILING(($I$1 -20 - 4- 48- ($J$35 - 1) * 24 - 14) * (1 - $I$35/100), 1) - 4) / (MAX(1 * 3 + 4 + 2, ( 3 *1+ 1 * $K$35+ 3 * $L$35+ $M$35 )  )  + 2),1 ), 1 )/1024/1024</f>
        <v>10.59375</v>
      </c>
      <c r="Q35" s="123" t="s">
        <v>388</v>
      </c>
      <c r="R35" s="275" t="s">
        <v>389</v>
      </c>
      <c r="S35" s="275"/>
      <c r="T35" s="275"/>
      <c r="U35" s="275"/>
      <c r="V35" s="275"/>
      <c r="W35" s="280"/>
      <c r="X35" s="280"/>
      <c r="Y35" s="281"/>
    </row>
    <row r="36" spans="2:25" ht="18" customHeight="1">
      <c r="B36" s="86"/>
      <c r="C36" s="344"/>
      <c r="D36" s="343"/>
      <c r="E36" s="343"/>
      <c r="F36" s="89"/>
      <c r="H36" s="163" t="s">
        <v>390</v>
      </c>
      <c r="I36" s="163">
        <v>10</v>
      </c>
      <c r="J36" s="163">
        <v>1</v>
      </c>
      <c r="K36" s="163">
        <v>23</v>
      </c>
      <c r="L36" s="163">
        <v>2</v>
      </c>
      <c r="M36" s="163">
        <v>1284</v>
      </c>
      <c r="N36" s="163">
        <f t="shared" ref="N36:N95" si="1">3+1*K36+3*L36+M36</f>
        <v>1316</v>
      </c>
      <c r="O36" s="163">
        <f>($D7*100)+(($D7*($D5-1)*100))+($D7*$D8/100*$D5*3000)</f>
        <v>380000</v>
      </c>
      <c r="P36" s="163">
        <f xml:space="preserve"> $I$1 * CEILING( 1* $O$36/ FLOOR(1* ( CEILING(($I$1 -20 - 4- 48- ($J$36 - 1) * 24 - 14) * (1 - $I$36/100), 1) - 4) / (MAX(1 * 3 + 4 + 2, ( 3 *1+ 1 * $K$36+ 3 * $L$36+ $M$36 )  )  + 2),1 ), 1 )/1024/1024</f>
        <v>593.75</v>
      </c>
      <c r="Q36" s="123" t="s">
        <v>391</v>
      </c>
      <c r="R36" s="275" t="s">
        <v>392</v>
      </c>
      <c r="S36" s="275"/>
      <c r="T36" s="275"/>
      <c r="U36" s="275"/>
      <c r="V36" s="275"/>
      <c r="W36" s="280"/>
      <c r="X36" s="280"/>
      <c r="Y36" s="281"/>
    </row>
    <row r="37" spans="2:25" ht="18" customHeight="1">
      <c r="B37" s="86"/>
      <c r="C37" s="293" t="s">
        <v>393</v>
      </c>
      <c r="D37" s="294" t="s">
        <v>385</v>
      </c>
      <c r="E37" s="290">
        <v>1024</v>
      </c>
      <c r="F37" s="89"/>
      <c r="H37" s="163" t="s">
        <v>394</v>
      </c>
      <c r="I37" s="163">
        <v>10</v>
      </c>
      <c r="J37" s="163">
        <v>1</v>
      </c>
      <c r="K37" s="163">
        <v>18</v>
      </c>
      <c r="L37" s="163">
        <v>1</v>
      </c>
      <c r="M37" s="163">
        <v>400</v>
      </c>
      <c r="N37" s="163">
        <f t="shared" si="1"/>
        <v>424</v>
      </c>
      <c r="O37" s="163">
        <v>5000</v>
      </c>
      <c r="P37" s="163">
        <f xml:space="preserve"> $I$1 * CEILING( 1* $O$37/ FLOOR(1* ( CEILING(($I$1 -20 - 4- 48- ($J$37 - 1) * 24 - 14) * (1 - $I$37/100), 1) - 4) / (MAX(1 * 3 + 4 + 2, ( 3 *1+ 1 * $K$37+ 3 * $L$37+ $M$37 )  )  + 2),1 ), 1 )/1024/1024</f>
        <v>2.3046875</v>
      </c>
      <c r="Q37" s="123" t="s">
        <v>395</v>
      </c>
      <c r="R37" s="275"/>
      <c r="S37" s="275"/>
      <c r="T37" s="275"/>
      <c r="U37" s="275"/>
      <c r="V37" s="275"/>
      <c r="W37" s="280"/>
      <c r="X37" s="280"/>
      <c r="Y37" s="281"/>
    </row>
    <row r="38" spans="2:25" ht="18" customHeight="1">
      <c r="B38" s="86"/>
      <c r="C38" s="87"/>
      <c r="D38" s="87"/>
      <c r="E38" s="87"/>
      <c r="F38" s="89"/>
      <c r="H38" s="163" t="s">
        <v>396</v>
      </c>
      <c r="I38" s="163">
        <v>10</v>
      </c>
      <c r="J38" s="163">
        <v>1</v>
      </c>
      <c r="K38" s="163">
        <v>50</v>
      </c>
      <c r="L38" s="163">
        <v>0</v>
      </c>
      <c r="M38" s="163">
        <v>651</v>
      </c>
      <c r="N38" s="163">
        <f t="shared" si="1"/>
        <v>704</v>
      </c>
      <c r="O38" s="163">
        <f>($D7*($D5)*5)+($D7*$D8/100*$D5*100)</f>
        <v>16000</v>
      </c>
      <c r="P38" s="163">
        <f xml:space="preserve"> $I$1 * CEILING( 1* $O$38/ FLOOR(1* ( CEILING(($I$1 -20 - 4- 48- ($J$38 - 1) * 24 - 14) * (1 - $I$38/100), 1) - 4) / (MAX(1 * 3 + 4 + 2, ( 3 *1+ 1 * $K$38+ 3 * $L$38+ $M$38 )  )  + 2),1 ), 1 )/1024/1024</f>
        <v>12.5</v>
      </c>
      <c r="Q38" s="123" t="s">
        <v>397</v>
      </c>
      <c r="R38" s="275" t="s">
        <v>398</v>
      </c>
      <c r="S38" s="275"/>
      <c r="T38" s="275"/>
      <c r="U38" s="275"/>
      <c r="V38" s="275"/>
      <c r="W38" s="280"/>
      <c r="X38" s="280"/>
      <c r="Y38" s="281"/>
    </row>
    <row r="39" spans="2:25" ht="18" customHeight="1">
      <c r="B39" s="86"/>
      <c r="C39" s="340" t="s">
        <v>399</v>
      </c>
      <c r="D39" s="342" t="s">
        <v>385</v>
      </c>
      <c r="E39" s="342" t="s">
        <v>400</v>
      </c>
      <c r="F39" s="89"/>
      <c r="H39" s="163" t="s">
        <v>401</v>
      </c>
      <c r="I39" s="163">
        <v>10</v>
      </c>
      <c r="J39" s="163">
        <v>1</v>
      </c>
      <c r="K39" s="163">
        <v>210</v>
      </c>
      <c r="L39" s="163">
        <v>0</v>
      </c>
      <c r="M39" s="163">
        <v>12078</v>
      </c>
      <c r="N39" s="163">
        <v>12276</v>
      </c>
      <c r="O39" s="163">
        <f>($D7*5)+(($D7*($D5-1)*1))+($D7*$D8/100*$D5*30)</f>
        <v>11800</v>
      </c>
      <c r="P39" s="163">
        <f xml:space="preserve"> $I$1 * CEILING( 7* $O$39/ FLOOR(7* ( CEILING(($I$1 -20 - 4- 48- ($J$39 - 1) * 24 - 14) * (1 - $I$39/100), 1) - 4) / (MAX(1 * 3 + 4 + 2, ( 3 *1+ 1 * $K$39+ 3 * $L$39+ $M$39 )  )  + 2),1 ), 1 )/1024/1024</f>
        <v>161.328125</v>
      </c>
      <c r="Q39" s="123" t="s">
        <v>402</v>
      </c>
      <c r="R39" s="275" t="s">
        <v>403</v>
      </c>
      <c r="S39" s="275"/>
      <c r="T39" s="275"/>
      <c r="U39" s="275"/>
      <c r="V39" s="275"/>
      <c r="W39" s="280"/>
      <c r="X39" s="280"/>
      <c r="Y39" s="281"/>
    </row>
    <row r="40" spans="2:25" ht="18" customHeight="1">
      <c r="B40" s="86"/>
      <c r="C40" s="341"/>
      <c r="D40" s="343"/>
      <c r="E40" s="343"/>
      <c r="F40" s="89"/>
      <c r="H40" s="163" t="s">
        <v>404</v>
      </c>
      <c r="I40" s="163">
        <v>10</v>
      </c>
      <c r="J40" s="163">
        <v>1</v>
      </c>
      <c r="K40" s="163">
        <v>26</v>
      </c>
      <c r="L40" s="163">
        <v>1</v>
      </c>
      <c r="M40" s="163">
        <v>846</v>
      </c>
      <c r="N40" s="163">
        <f>3+1*K40+3*L40+M40</f>
        <v>878</v>
      </c>
      <c r="O40" s="163">
        <f>($D7*($D5)*2)+($D7*$D8/100*$D5*50)</f>
        <v>7000</v>
      </c>
      <c r="P40" s="163">
        <f xml:space="preserve"> $I$1 * CEILING( 1* $O$40/ FLOOR(1* ( CEILING(($I$1 -20 - 4- 48- ($J$40 - 1) * 24 - 14) * (1 - $I$40/100), 1) - 4) / (MAX(1 * 3 + 4 + 2, ( 3 *1+ 1 * $K$40+ 3 * $L$40+ $M$40 )  )  + 2),1 ), 1 )/1024/1024</f>
        <v>6.8359375</v>
      </c>
      <c r="Q40" s="123" t="s">
        <v>405</v>
      </c>
      <c r="R40" s="275" t="s">
        <v>406</v>
      </c>
      <c r="S40" s="275"/>
      <c r="T40" s="275"/>
      <c r="U40" s="275"/>
      <c r="V40" s="275"/>
      <c r="W40" s="280"/>
      <c r="X40" s="280"/>
      <c r="Y40" s="281"/>
    </row>
    <row r="41" spans="2:25" ht="18" customHeight="1">
      <c r="B41" s="86"/>
      <c r="C41" s="295" t="s">
        <v>407</v>
      </c>
      <c r="D41" s="294" t="s">
        <v>385</v>
      </c>
      <c r="E41" s="290">
        <v>256</v>
      </c>
      <c r="F41" s="89"/>
      <c r="H41" s="163" t="s">
        <v>408</v>
      </c>
      <c r="I41" s="163">
        <v>10</v>
      </c>
      <c r="J41" s="163">
        <v>1</v>
      </c>
      <c r="K41" s="163">
        <v>24</v>
      </c>
      <c r="L41" s="163">
        <v>1</v>
      </c>
      <c r="M41" s="163">
        <v>789</v>
      </c>
      <c r="N41" s="163">
        <f t="shared" si="1"/>
        <v>819</v>
      </c>
      <c r="O41" s="163">
        <v>200</v>
      </c>
      <c r="P41" s="163">
        <f xml:space="preserve"> $I$1 * CEILING( 1* $O$41/ FLOOR(1* ( CEILING(($I$1 -20 - 4- 48- ($J$41 - 1) * 24 - 14) * (1 - $I$41/100), 1) - 4) / (MAX(1 * 3 + 4 + 2, ( 3 *1+ 1 * $K$41+ 3 * $L$41+ $M$41 )  )  + 2),1 ), 1 )/1024/1024</f>
        <v>0.1953125</v>
      </c>
      <c r="Q41" s="123" t="s">
        <v>409</v>
      </c>
      <c r="R41" s="275"/>
      <c r="S41" s="275"/>
      <c r="T41" s="275"/>
      <c r="U41" s="275"/>
      <c r="V41" s="275"/>
      <c r="W41" s="280"/>
      <c r="X41" s="280"/>
      <c r="Y41" s="281"/>
    </row>
    <row r="42" spans="2:25" ht="18" customHeight="1">
      <c r="B42" s="86"/>
      <c r="C42" s="295" t="s">
        <v>410</v>
      </c>
      <c r="D42" s="294" t="s">
        <v>385</v>
      </c>
      <c r="E42" s="290">
        <v>256</v>
      </c>
      <c r="F42" s="89"/>
      <c r="H42" s="163" t="s">
        <v>411</v>
      </c>
      <c r="I42" s="163">
        <v>10</v>
      </c>
      <c r="J42" s="163">
        <v>1</v>
      </c>
      <c r="K42" s="163">
        <v>14</v>
      </c>
      <c r="L42" s="163">
        <v>1</v>
      </c>
      <c r="M42" s="163">
        <v>407</v>
      </c>
      <c r="N42" s="163">
        <f t="shared" si="1"/>
        <v>427</v>
      </c>
      <c r="O42" s="163">
        <f>$O35*5</f>
        <v>11300</v>
      </c>
      <c r="P42" s="163">
        <f xml:space="preserve"> $I$1 * CEILING( 1* $O$42/ FLOOR(1* ( CEILING(($I$1 -20 - 4- 48- ($J$42 - 1) * 24 - 14) * (1 - $I$42/100), 1) - 4) / (MAX(1 * 3 + 4 + 2, ( 3 *1+ 1 * $K$42+ 3 * $L$42+ $M$42 )  )  + 2),1 ), 1 )/1024/1024</f>
        <v>5.5234375</v>
      </c>
      <c r="Q42" s="123" t="s">
        <v>412</v>
      </c>
      <c r="R42" s="275" t="s">
        <v>413</v>
      </c>
      <c r="S42" s="275"/>
      <c r="T42" s="275"/>
      <c r="U42" s="275"/>
      <c r="V42" s="275"/>
      <c r="W42" s="280"/>
      <c r="X42" s="280"/>
      <c r="Y42" s="281"/>
    </row>
    <row r="43" spans="2:25" ht="18" customHeight="1">
      <c r="B43" s="86"/>
      <c r="C43" s="87"/>
      <c r="D43" s="87"/>
      <c r="E43" s="87"/>
      <c r="F43" s="89"/>
      <c r="H43" s="163" t="s">
        <v>529</v>
      </c>
      <c r="I43" s="163">
        <v>10</v>
      </c>
      <c r="J43" s="163">
        <v>1</v>
      </c>
      <c r="K43" s="163">
        <v>83</v>
      </c>
      <c r="L43" s="163">
        <v>0</v>
      </c>
      <c r="M43" s="163">
        <v>912</v>
      </c>
      <c r="N43" s="163">
        <f t="shared" si="1"/>
        <v>998</v>
      </c>
      <c r="O43" s="163">
        <f>$D7*5</f>
        <v>10000</v>
      </c>
      <c r="P43" s="163">
        <f xml:space="preserve"> $I$1 * CEILING( 1* $O$43/ FLOOR(1* ( CEILING(($I$1 -20 - 4- 48- ($J$43 - 1) * 24 - 14) * (1 - $I$43/100), 1) - 4) / (MAX(1 * 3 + 4 + 2, ( 3 *1+ 1 * $K$43+ 3 * $L$43+ $M$43 )  )  + 2),1 ), 1 )/1024/1024</f>
        <v>11.1640625</v>
      </c>
      <c r="Q43" s="123" t="s">
        <v>414</v>
      </c>
      <c r="R43" s="275" t="s">
        <v>415</v>
      </c>
      <c r="S43" s="275"/>
      <c r="T43" s="275"/>
      <c r="U43" s="275"/>
      <c r="V43" s="275"/>
      <c r="W43" s="280"/>
      <c r="X43" s="280"/>
      <c r="Y43" s="281"/>
    </row>
    <row r="44" spans="2:25" ht="18" customHeight="1">
      <c r="B44" s="86"/>
      <c r="C44" s="340" t="s">
        <v>416</v>
      </c>
      <c r="D44" s="342" t="s">
        <v>417</v>
      </c>
      <c r="E44" s="342" t="s">
        <v>341</v>
      </c>
      <c r="F44" s="89"/>
      <c r="H44" s="163" t="s">
        <v>418</v>
      </c>
      <c r="I44" s="163">
        <v>10</v>
      </c>
      <c r="J44" s="163">
        <v>1</v>
      </c>
      <c r="K44" s="163">
        <v>28</v>
      </c>
      <c r="L44" s="163">
        <v>0</v>
      </c>
      <c r="M44" s="163">
        <v>171</v>
      </c>
      <c r="N44" s="163">
        <f t="shared" si="1"/>
        <v>202</v>
      </c>
      <c r="O44" s="163">
        <f>$O35*5</f>
        <v>11300</v>
      </c>
      <c r="P44" s="163">
        <f xml:space="preserve"> $I$1 * CEILING( 1* $O$44/ FLOOR(1* ( CEILING(($I$1 -20 - 4- 48- ($J$44 - 1) * 24 - 14) * (1 - $I$44/100), 1) - 4) / (MAX(1 * 3 + 4 + 2, ( 3 *1+ 1 * $K$44+ 3 * $L$44+ $M$44 )  )  + 2),1 ), 1 )/1024/1024</f>
        <v>2.5234375</v>
      </c>
      <c r="Q44" s="123" t="s">
        <v>419</v>
      </c>
      <c r="R44" s="275" t="s">
        <v>413</v>
      </c>
      <c r="S44" s="275"/>
      <c r="T44" s="275"/>
      <c r="U44" s="275"/>
      <c r="V44" s="275"/>
      <c r="W44" s="280"/>
      <c r="X44" s="280"/>
      <c r="Y44" s="281"/>
    </row>
    <row r="45" spans="2:25" ht="18" customHeight="1">
      <c r="B45" s="86"/>
      <c r="C45" s="341"/>
      <c r="D45" s="343"/>
      <c r="E45" s="343"/>
      <c r="F45" s="89"/>
      <c r="H45" s="163" t="s">
        <v>420</v>
      </c>
      <c r="I45" s="163">
        <v>10</v>
      </c>
      <c r="J45" s="163">
        <v>1</v>
      </c>
      <c r="K45" s="163">
        <v>22</v>
      </c>
      <c r="L45" s="163">
        <v>0</v>
      </c>
      <c r="M45" s="163">
        <v>186</v>
      </c>
      <c r="N45" s="163">
        <f t="shared" si="1"/>
        <v>211</v>
      </c>
      <c r="O45" s="163">
        <v>1000</v>
      </c>
      <c r="P45" s="163">
        <f xml:space="preserve"> $I$1 * CEILING( 1* $O$45/ FLOOR(1* ( CEILING(($I$1 -20 - 4- 48- ($J$45 - 1) * 24 - 14) * (1 - $I$45/100), 1) - 4) / (MAX(1 * 3 + 4 + 2, ( 3 *1+ 1 * $K$45+ 3 * $L$45+ $M$45 )  )  + 2),1 ), 1 )/1024/1024</f>
        <v>0.234375</v>
      </c>
      <c r="Q45" s="123"/>
      <c r="R45" s="275"/>
      <c r="S45" s="275"/>
      <c r="T45" s="275"/>
      <c r="U45" s="275"/>
      <c r="V45" s="275"/>
      <c r="W45" s="280"/>
      <c r="X45" s="280"/>
      <c r="Y45" s="281"/>
    </row>
    <row r="46" spans="2:25" ht="18" customHeight="1">
      <c r="B46" s="86"/>
      <c r="C46" s="293" t="s">
        <v>421</v>
      </c>
      <c r="D46" s="290">
        <v>250</v>
      </c>
      <c r="E46" s="290">
        <v>255</v>
      </c>
      <c r="F46" s="89"/>
      <c r="H46" s="163" t="s">
        <v>422</v>
      </c>
      <c r="I46" s="163">
        <v>10</v>
      </c>
      <c r="J46" s="163">
        <v>1</v>
      </c>
      <c r="K46" s="163">
        <v>23</v>
      </c>
      <c r="L46" s="163">
        <v>0</v>
      </c>
      <c r="M46" s="163">
        <v>370</v>
      </c>
      <c r="N46" s="163">
        <f t="shared" si="1"/>
        <v>396</v>
      </c>
      <c r="O46" s="163">
        <f>$O35*10</f>
        <v>22600</v>
      </c>
      <c r="P46" s="163">
        <f xml:space="preserve"> $I$1 * CEILING( 1* $O$46/ FLOOR(1* ( CEILING(($I$1 -20 - 4- 48- ($J$46 - 1) * 24 - 14) * (1 - $I$46/100), 1) - 4) / (MAX(1 * 3 + 4 + 2, ( 3 *1+ 1 * $K$46+ 3 * $L$46+ $M$46 )  )  + 2),1 ), 1 )/1024/1024</f>
        <v>9.8125</v>
      </c>
      <c r="Q46" s="123" t="s">
        <v>423</v>
      </c>
      <c r="R46" s="275" t="s">
        <v>374</v>
      </c>
      <c r="S46" s="275"/>
      <c r="T46" s="275"/>
      <c r="U46" s="275"/>
      <c r="V46" s="275"/>
      <c r="W46" s="280"/>
      <c r="X46" s="280"/>
      <c r="Y46" s="281"/>
    </row>
    <row r="47" spans="2:25" ht="18" customHeight="1">
      <c r="B47" s="86"/>
      <c r="C47" s="87"/>
      <c r="D47" s="87"/>
      <c r="E47" s="87"/>
      <c r="F47" s="89"/>
      <c r="H47" s="163" t="s">
        <v>424</v>
      </c>
      <c r="I47" s="163">
        <v>10</v>
      </c>
      <c r="J47" s="163">
        <v>1</v>
      </c>
      <c r="K47" s="163">
        <v>40</v>
      </c>
      <c r="L47" s="163">
        <v>1</v>
      </c>
      <c r="M47" s="163">
        <v>730</v>
      </c>
      <c r="N47" s="163">
        <f t="shared" si="1"/>
        <v>776</v>
      </c>
      <c r="O47" s="163">
        <f>$O35*5</f>
        <v>11300</v>
      </c>
      <c r="P47" s="163">
        <f xml:space="preserve"> $I$1 * CEILING( 1* $O$47/ FLOOR(1* ( CEILING(($I$1 -20 - 4- 48- ($J$47 - 1) * 24 - 14) * (1 - $I$47/100), 1) - 4) / (MAX(1 * 3 + 4 + 2, ( 3 *1+ 1 * $K$47+ 3 * $L$47+ $M$47 )  )  + 2),1 ), 1 )/1024/1024</f>
        <v>9.8125</v>
      </c>
      <c r="Q47" s="123" t="s">
        <v>425</v>
      </c>
      <c r="R47" s="275" t="s">
        <v>413</v>
      </c>
      <c r="S47" s="275"/>
      <c r="T47" s="275"/>
      <c r="U47" s="275"/>
      <c r="V47" s="275"/>
      <c r="W47" s="280"/>
      <c r="X47" s="280"/>
      <c r="Y47" s="281"/>
    </row>
    <row r="48" spans="2:25" ht="18" customHeight="1" thickBot="1">
      <c r="B48" s="127"/>
      <c r="C48" s="129"/>
      <c r="D48" s="129"/>
      <c r="E48" s="129"/>
      <c r="F48" s="130"/>
      <c r="H48" s="163" t="s">
        <v>426</v>
      </c>
      <c r="I48" s="163">
        <v>10</v>
      </c>
      <c r="J48" s="163">
        <v>1</v>
      </c>
      <c r="K48" s="163">
        <v>12</v>
      </c>
      <c r="L48" s="163">
        <v>1</v>
      </c>
      <c r="M48" s="163">
        <v>1187</v>
      </c>
      <c r="N48" s="163">
        <f t="shared" si="1"/>
        <v>1205</v>
      </c>
      <c r="O48" s="163">
        <v>300</v>
      </c>
      <c r="P48" s="163">
        <f xml:space="preserve"> $I$1 * CEILING( 1* $O$48/ FLOOR(1* ( CEILING(($I$1 -20 - 4- 48- ($J$48 - 1) * 24 - 14) * (1 - $I$48/100), 1) - 4) / (MAX(1 * 3 + 4 + 2, ( 3 *1+ 1 * $K$48+ 3 * $L$48+ $M$48 )  )  + 2),1 ), 1 )/1024/1024</f>
        <v>0.390625</v>
      </c>
      <c r="Q48" s="123"/>
      <c r="R48" s="275"/>
      <c r="S48" s="275"/>
      <c r="T48" s="275"/>
      <c r="U48" s="275"/>
      <c r="V48" s="275"/>
      <c r="W48" s="280"/>
      <c r="X48" s="280"/>
      <c r="Y48" s="281"/>
    </row>
    <row r="49" spans="2:25" ht="18" customHeight="1">
      <c r="B49" s="87"/>
      <c r="C49" s="87"/>
      <c r="D49" s="87"/>
      <c r="E49" s="87"/>
      <c r="F49" s="87"/>
      <c r="H49" s="163" t="s">
        <v>427</v>
      </c>
      <c r="I49" s="163">
        <v>10</v>
      </c>
      <c r="J49" s="163">
        <v>1</v>
      </c>
      <c r="K49" s="163">
        <v>43</v>
      </c>
      <c r="L49" s="163">
        <v>0</v>
      </c>
      <c r="M49" s="163">
        <v>296</v>
      </c>
      <c r="N49" s="163">
        <f t="shared" si="1"/>
        <v>342</v>
      </c>
      <c r="O49" s="163">
        <v>1500</v>
      </c>
      <c r="P49" s="163">
        <f xml:space="preserve"> $I$1 * CEILING( 1* $O$49/ FLOOR(1* ( CEILING(($I$1 -20 - 4- 48- ($J$49 - 1) * 24 - 14) * (1 - $I$49/100), 1) - 4) / (MAX(1 * 3 + 4 + 2, ( 3 *1+ 1 * $K$49+ 3 * $L$49+ $M$49 )  )  + 2),1 ), 1 )/1024/1024</f>
        <v>0.5625</v>
      </c>
      <c r="Q49" s="123"/>
      <c r="R49" s="275"/>
      <c r="S49" s="275"/>
      <c r="T49" s="275"/>
      <c r="U49" s="275"/>
      <c r="V49" s="275"/>
      <c r="W49" s="280"/>
      <c r="X49" s="280"/>
      <c r="Y49" s="281"/>
    </row>
    <row r="50" spans="2:25" ht="18" customHeight="1">
      <c r="B50" s="87"/>
      <c r="C50" s="87"/>
      <c r="D50" s="87"/>
      <c r="E50" s="87"/>
      <c r="F50" s="87"/>
      <c r="H50" s="163" t="s">
        <v>428</v>
      </c>
      <c r="I50" s="163">
        <v>10</v>
      </c>
      <c r="J50" s="163">
        <v>1</v>
      </c>
      <c r="K50" s="163">
        <v>11</v>
      </c>
      <c r="L50" s="163">
        <v>0</v>
      </c>
      <c r="M50" s="163">
        <v>79</v>
      </c>
      <c r="N50" s="163">
        <f t="shared" si="1"/>
        <v>93</v>
      </c>
      <c r="O50" s="163">
        <f>$D7*0.02*$D11</f>
        <v>40</v>
      </c>
      <c r="P50" s="163">
        <f xml:space="preserve"> $I$1 * CEILING( 1* $O$50/ FLOOR(1* ( CEILING(($I$1 -20 - 4- 48- ($J$50 - 1) * 24 - 14) * (1 - $I$50/100), 1) - 4) / (MAX(1 * 3 + 4 + 2, ( 3 *1+ 1 * $K$50+ 3 * $L$50+ $M$50 )  )  + 2),1 ), 1 )/1024/1024</f>
        <v>7.8125E-3</v>
      </c>
      <c r="Q50" s="123"/>
      <c r="R50" s="275" t="s">
        <v>429</v>
      </c>
      <c r="S50" s="275"/>
      <c r="T50" s="275"/>
      <c r="U50" s="275"/>
      <c r="V50" s="275"/>
      <c r="W50" s="280"/>
      <c r="X50" s="280"/>
      <c r="Y50" s="281"/>
    </row>
    <row r="51" spans="2:25" ht="18" customHeight="1">
      <c r="B51" s="87"/>
      <c r="C51" s="87"/>
      <c r="D51" s="87"/>
      <c r="E51" s="87"/>
      <c r="F51" s="87"/>
      <c r="H51" s="163" t="s">
        <v>430</v>
      </c>
      <c r="I51" s="163">
        <v>10</v>
      </c>
      <c r="J51" s="163">
        <v>1</v>
      </c>
      <c r="K51" s="163">
        <v>10</v>
      </c>
      <c r="L51" s="163">
        <v>0</v>
      </c>
      <c r="M51" s="163">
        <v>67</v>
      </c>
      <c r="N51" s="163">
        <f>3+1*K51+3*L51+M51</f>
        <v>80</v>
      </c>
      <c r="O51" s="163">
        <f>$O16*5</f>
        <v>113</v>
      </c>
      <c r="P51" s="163">
        <f xml:space="preserve"> $I$1 * CEILING( 1* $O$51/ FLOOR(1* ( CEILING(($I$1 -20 - 4- 48- ($J$51 - 1) * 24 - 14) * (1 - $I$51/100), 1) - 4) / (MAX(1 * 3 + 4 + 2, ( 3 *1+ 1 * $K$51+ 3 * $L$51+ $M$51 )  )  + 2),1 ), 1 )/1024/1024</f>
        <v>1.5625E-2</v>
      </c>
      <c r="Q51" s="123"/>
      <c r="R51" s="275" t="s">
        <v>431</v>
      </c>
      <c r="S51" s="275"/>
      <c r="T51" s="275"/>
      <c r="U51" s="275"/>
      <c r="V51" s="275"/>
      <c r="W51" s="280"/>
      <c r="X51" s="280"/>
      <c r="Y51" s="281"/>
    </row>
    <row r="52" spans="2:25" ht="18" customHeight="1">
      <c r="B52" s="87"/>
      <c r="C52" s="87"/>
      <c r="D52" s="87"/>
      <c r="E52" s="87"/>
      <c r="F52" s="87"/>
      <c r="H52" s="163" t="s">
        <v>432</v>
      </c>
      <c r="I52" s="163">
        <v>10</v>
      </c>
      <c r="J52" s="163">
        <v>1</v>
      </c>
      <c r="K52" s="163">
        <v>16</v>
      </c>
      <c r="L52" s="163">
        <v>1</v>
      </c>
      <c r="M52" s="163">
        <v>344</v>
      </c>
      <c r="N52" s="163">
        <f t="shared" si="1"/>
        <v>366</v>
      </c>
      <c r="O52" s="163">
        <f>$O54*10</f>
        <v>4000</v>
      </c>
      <c r="P52" s="163">
        <f xml:space="preserve"> $I$1 * CEILING( 1* $O$52/ FLOOR(1* ( CEILING(($I$1 -20 - 4- 48- ($J$52 - 1) * 24 - 14) * (1 - $I$52/100), 1) - 4) / (MAX(1 * 3 + 4 + 2, ( 3 *1+ 1 * $K$52+ 3 * $L$52+ $M$52 )  )  + 2),1 ), 1 )/1024/1024</f>
        <v>1.6484375</v>
      </c>
      <c r="Q52" s="123" t="s">
        <v>433</v>
      </c>
      <c r="R52" s="275" t="s">
        <v>434</v>
      </c>
      <c r="S52" s="275"/>
      <c r="T52" s="275"/>
      <c r="U52" s="275"/>
      <c r="V52" s="275"/>
      <c r="W52" s="280"/>
      <c r="X52" s="280"/>
      <c r="Y52" s="281"/>
    </row>
    <row r="53" spans="2:25" ht="18" customHeight="1">
      <c r="C53" s="87"/>
      <c r="D53" s="87"/>
      <c r="E53" s="87"/>
      <c r="H53" s="163" t="s">
        <v>435</v>
      </c>
      <c r="I53" s="163">
        <v>10</v>
      </c>
      <c r="J53" s="163">
        <v>1</v>
      </c>
      <c r="K53" s="163">
        <v>14</v>
      </c>
      <c r="L53" s="163">
        <v>0</v>
      </c>
      <c r="M53" s="163">
        <v>123</v>
      </c>
      <c r="N53" s="163">
        <f t="shared" si="1"/>
        <v>140</v>
      </c>
      <c r="O53" s="163">
        <f>$O54*2</f>
        <v>800</v>
      </c>
      <c r="P53" s="163">
        <f xml:space="preserve"> $I$1 * CEILING( 1* $O$53/ FLOOR(1* ( CEILING(($I$1 -20 - 4- 48- ($J$53 - 1) * 24 - 14) * (1 - $I$53/100), 1) - 4) / (MAX(1 * 3 + 4 + 2, ( 3 *1+ 1 * $K$53+ 3 * $L$53+ $M$53 )  )  + 2),1 ), 1 )/1024/1024</f>
        <v>0.125</v>
      </c>
      <c r="Q53" s="123" t="s">
        <v>436</v>
      </c>
      <c r="R53" s="275" t="s">
        <v>437</v>
      </c>
      <c r="S53" s="275"/>
      <c r="T53" s="275"/>
      <c r="U53" s="275"/>
      <c r="V53" s="275"/>
      <c r="W53" s="280"/>
      <c r="X53" s="280"/>
      <c r="Y53" s="281"/>
    </row>
    <row r="54" spans="2:25" ht="18" customHeight="1">
      <c r="C54" s="87"/>
      <c r="D54" s="87"/>
      <c r="E54" s="87"/>
      <c r="H54" s="163" t="s">
        <v>438</v>
      </c>
      <c r="I54" s="163">
        <v>10</v>
      </c>
      <c r="J54" s="163">
        <v>1</v>
      </c>
      <c r="K54" s="163">
        <v>231</v>
      </c>
      <c r="L54" s="163">
        <v>35</v>
      </c>
      <c r="M54" s="163">
        <v>16629</v>
      </c>
      <c r="N54" s="163">
        <f t="shared" si="1"/>
        <v>16968</v>
      </c>
      <c r="O54" s="163">
        <f>$D7*0.2*$D5</f>
        <v>400</v>
      </c>
      <c r="P54" s="163">
        <f xml:space="preserve"> $I$1 * CEILING( 10* $O$54/ FLOOR(10* ( CEILING(($I$1 -20 - 4- 48- ($J$54 - 1) * 24 - 14) * (1 - $I$54/100), 1) - 4) / (MAX(1 * 3 + 4 + 2, ( 3 *1+ 1 * $K$54+ 3 * $L$54+ $M$54 )  )  + 2),1 ), 1 )/1024/1024</f>
        <v>7.8125</v>
      </c>
      <c r="Q54" s="123" t="s">
        <v>439</v>
      </c>
      <c r="R54" s="275" t="s">
        <v>434</v>
      </c>
      <c r="S54" s="275"/>
      <c r="T54" s="275"/>
      <c r="U54" s="275"/>
      <c r="V54" s="275"/>
      <c r="W54" s="280"/>
      <c r="X54" s="280"/>
      <c r="Y54" s="281"/>
    </row>
    <row r="55" spans="2:25" ht="18" customHeight="1">
      <c r="H55" s="163" t="s">
        <v>440</v>
      </c>
      <c r="I55" s="163">
        <v>10</v>
      </c>
      <c r="J55" s="163">
        <v>1</v>
      </c>
      <c r="K55" s="163">
        <v>32</v>
      </c>
      <c r="L55" s="163">
        <v>0</v>
      </c>
      <c r="M55" s="163">
        <v>1213</v>
      </c>
      <c r="N55" s="163">
        <f t="shared" si="1"/>
        <v>1248</v>
      </c>
      <c r="O55" s="163">
        <v>1500</v>
      </c>
      <c r="P55" s="163">
        <f xml:space="preserve"> $I$1 * CEILING( 1* $O$55/ FLOOR(1* ( CEILING(($I$1 -20 - 4- 48- ($J$55 - 1) * 24 - 14) * (1 - $I$55/100), 1) - 4) / (MAX(1 * 3 + 4 + 2, ( 3 *1+ 1 * $K$55+ 3 * $L$55+ $M$55 )  )  + 2),1 ), 1 )/1024/1024</f>
        <v>2.34375</v>
      </c>
      <c r="Q55" s="123"/>
      <c r="R55" s="275"/>
      <c r="S55" s="275"/>
      <c r="T55" s="275"/>
      <c r="U55" s="275"/>
      <c r="V55" s="275"/>
      <c r="W55" s="280"/>
      <c r="X55" s="280"/>
      <c r="Y55" s="281"/>
    </row>
    <row r="56" spans="2:25" ht="18" customHeight="1">
      <c r="H56" s="163" t="s">
        <v>441</v>
      </c>
      <c r="I56" s="163">
        <v>10</v>
      </c>
      <c r="J56" s="163">
        <v>1</v>
      </c>
      <c r="K56" s="163">
        <v>9</v>
      </c>
      <c r="L56" s="163">
        <v>0</v>
      </c>
      <c r="M56" s="163">
        <v>122</v>
      </c>
      <c r="N56" s="163">
        <f t="shared" si="1"/>
        <v>134</v>
      </c>
      <c r="O56" s="163">
        <f>20*$D11</f>
        <v>20</v>
      </c>
      <c r="P56" s="163">
        <f xml:space="preserve"> $I$1 * CEILING( 1* $O$56/ FLOOR(1* ( CEILING(($I$1 -20 - 4- 48- ($J$56 - 1) * 24 - 14) * (1 - $I$56/100), 1) - 4) / (MAX(1 * 3 + 4 + 2, ( 3 *1+ 1 * $K$56+ 3 * $L$56+ $M$56 )  )  + 2),1 ), 1 )/1024/1024</f>
        <v>7.8125E-3</v>
      </c>
      <c r="Q56" s="123"/>
      <c r="R56" s="275"/>
      <c r="S56" s="275"/>
      <c r="T56" s="275"/>
      <c r="U56" s="275"/>
      <c r="V56" s="275"/>
      <c r="W56" s="280"/>
      <c r="X56" s="280"/>
      <c r="Y56" s="281"/>
    </row>
    <row r="57" spans="2:25" ht="18" customHeight="1">
      <c r="H57" s="163" t="s">
        <v>442</v>
      </c>
      <c r="I57" s="163">
        <v>10</v>
      </c>
      <c r="J57" s="163">
        <v>1</v>
      </c>
      <c r="K57" s="163">
        <v>12</v>
      </c>
      <c r="L57" s="163">
        <v>0</v>
      </c>
      <c r="M57" s="163">
        <v>83</v>
      </c>
      <c r="N57" s="163">
        <f t="shared" si="1"/>
        <v>98</v>
      </c>
      <c r="O57" s="163">
        <v>10</v>
      </c>
      <c r="P57" s="163">
        <f xml:space="preserve"> $I$1 * CEILING( 1* $O$57/ FLOOR(1* ( CEILING(($I$1 -20 - 4- 48- ($J$57 - 1) * 24 - 14) * (1 - $I$57/100), 1) - 4) / (MAX(1 * 3 + 4 + 2, ( 3 *1+ 1 * $K$57+ 3 * $L$57+ $M$57 )  )  + 2),1 ), 1 )/1024/1024</f>
        <v>7.8125E-3</v>
      </c>
      <c r="Q57" s="123"/>
      <c r="R57" s="275"/>
      <c r="S57" s="275"/>
      <c r="T57" s="275"/>
      <c r="U57" s="275"/>
      <c r="V57" s="275"/>
      <c r="W57" s="280"/>
      <c r="X57" s="280"/>
      <c r="Y57" s="281"/>
    </row>
    <row r="58" spans="2:25" ht="18" customHeight="1">
      <c r="H58" s="163" t="s">
        <v>443</v>
      </c>
      <c r="I58" s="163">
        <v>10</v>
      </c>
      <c r="J58" s="163">
        <v>1</v>
      </c>
      <c r="K58" s="163">
        <v>16</v>
      </c>
      <c r="L58" s="163">
        <v>0</v>
      </c>
      <c r="M58" s="163">
        <v>145</v>
      </c>
      <c r="N58" s="163">
        <f t="shared" si="1"/>
        <v>164</v>
      </c>
      <c r="O58" s="163">
        <f>$D7*0.01*5*$D11</f>
        <v>100</v>
      </c>
      <c r="P58" s="163">
        <f xml:space="preserve"> $I$1 * CEILING( 1* $O$58/ FLOOR(1* ( CEILING(($I$1 -20 - 4- 48- ($J$58 - 1) * 24 - 14) * (1 - $I$58/100), 1) - 4) / (MAX(1 * 3 + 4 + 2, ( 3 *1+ 1 * $K$58+ 3 * $L$58+ $M$58 )  )  + 2),1 ), 1 )/1024/1024</f>
        <v>2.34375E-2</v>
      </c>
      <c r="Q58" s="123"/>
      <c r="R58" s="275" t="s">
        <v>444</v>
      </c>
      <c r="S58" s="275"/>
      <c r="T58" s="275"/>
      <c r="U58" s="275"/>
      <c r="V58" s="275"/>
      <c r="W58" s="280"/>
      <c r="X58" s="280"/>
      <c r="Y58" s="281"/>
    </row>
    <row r="59" spans="2:25" ht="18" customHeight="1">
      <c r="H59" s="163" t="s">
        <v>445</v>
      </c>
      <c r="I59" s="163">
        <v>10</v>
      </c>
      <c r="J59" s="163">
        <v>1</v>
      </c>
      <c r="K59" s="163">
        <v>17</v>
      </c>
      <c r="L59" s="163">
        <v>2</v>
      </c>
      <c r="M59" s="163">
        <v>725</v>
      </c>
      <c r="N59" s="163">
        <f t="shared" si="1"/>
        <v>751</v>
      </c>
      <c r="O59" s="163">
        <f>$O35*2</f>
        <v>4520</v>
      </c>
      <c r="P59" s="163">
        <f xml:space="preserve"> $I$1 * CEILING( 1* $O$59/ FLOOR(1* ( CEILING(($I$1 -20 - 4- 48- ($J$59 - 1) * 24 - 14) * (1 - $I$59/100), 1) - 4) / (MAX(1 * 3 + 4 + 2, ( 3 *1+ 1 * $K$59+ 3 * $L$59+ $M$59 )  )  + 2),1 ), 1 )/1024/1024</f>
        <v>3.9296875</v>
      </c>
      <c r="Q59" s="123" t="s">
        <v>446</v>
      </c>
      <c r="R59" s="275" t="s">
        <v>447</v>
      </c>
      <c r="S59" s="275"/>
      <c r="T59" s="275"/>
      <c r="U59" s="275"/>
      <c r="V59" s="275"/>
      <c r="W59" s="280"/>
      <c r="X59" s="280"/>
      <c r="Y59" s="281"/>
    </row>
    <row r="60" spans="2:25" ht="18" customHeight="1">
      <c r="H60" s="163" t="s">
        <v>448</v>
      </c>
      <c r="I60" s="163">
        <v>10</v>
      </c>
      <c r="J60" s="163">
        <v>1</v>
      </c>
      <c r="K60" s="163">
        <v>15</v>
      </c>
      <c r="L60" s="163">
        <v>0</v>
      </c>
      <c r="M60" s="163">
        <v>2423</v>
      </c>
      <c r="N60" s="163">
        <f t="shared" si="1"/>
        <v>2441</v>
      </c>
      <c r="O60" s="163">
        <f>$D7*0.01*$D11</f>
        <v>20</v>
      </c>
      <c r="P60" s="163">
        <f xml:space="preserve"> $I$1 * CEILING( 1* $O$60/ FLOOR(1* ( CEILING(($I$1 -20 - 4- 48- ($J$60 - 1) * 24 - 14) * (1 - $I$60/100), 1) - 4) / (MAX(1 * 3 + 4 + 2, ( 3 *1+ 1 * $K$60+ 3 * $L$60+ $M$60 )  )  + 2),1 ), 1 )/1024/1024</f>
        <v>7.8125E-2</v>
      </c>
      <c r="Q60" s="123"/>
      <c r="R60" s="275" t="s">
        <v>449</v>
      </c>
      <c r="S60" s="275"/>
      <c r="T60" s="275"/>
      <c r="U60" s="275"/>
      <c r="V60" s="275"/>
      <c r="W60" s="280"/>
      <c r="X60" s="280"/>
      <c r="Y60" s="281"/>
    </row>
    <row r="61" spans="2:25" ht="18" customHeight="1">
      <c r="H61" s="163" t="s">
        <v>450</v>
      </c>
      <c r="I61" s="163">
        <v>10</v>
      </c>
      <c r="J61" s="163">
        <v>1</v>
      </c>
      <c r="K61" s="163">
        <v>13</v>
      </c>
      <c r="L61" s="163">
        <v>0</v>
      </c>
      <c r="M61" s="163">
        <v>86</v>
      </c>
      <c r="N61" s="163">
        <f t="shared" si="1"/>
        <v>102</v>
      </c>
      <c r="O61" s="163">
        <f>$O60*30</f>
        <v>600</v>
      </c>
      <c r="P61" s="163">
        <f xml:space="preserve"> $I$1 * CEILING( 1* $O$61/ FLOOR(1* ( CEILING(($I$1 -20 - 4- 48- ($J$61 - 1) * 24 - 14) * (1 - $I$61/100), 1) - 4) / (MAX(1 * 3 + 4 + 2, ( 3 *1+ 1 * $K$61+ 3 * $L$61+ $M$61 )  )  + 2),1 ), 1 )/1024/1024</f>
        <v>7.03125E-2</v>
      </c>
      <c r="Q61" s="123"/>
      <c r="R61" s="275" t="s">
        <v>451</v>
      </c>
      <c r="S61" s="275"/>
      <c r="T61" s="275"/>
      <c r="U61" s="275"/>
      <c r="V61" s="275"/>
      <c r="W61" s="280"/>
      <c r="X61" s="280"/>
      <c r="Y61" s="281"/>
    </row>
    <row r="62" spans="2:25" ht="18" customHeight="1">
      <c r="H62" s="163" t="s">
        <v>452</v>
      </c>
      <c r="I62" s="163">
        <v>10</v>
      </c>
      <c r="J62" s="163">
        <v>1</v>
      </c>
      <c r="K62" s="163">
        <v>17</v>
      </c>
      <c r="L62" s="163">
        <v>2</v>
      </c>
      <c r="M62" s="163">
        <v>1146</v>
      </c>
      <c r="N62" s="163">
        <f t="shared" si="1"/>
        <v>1172</v>
      </c>
      <c r="O62" s="163">
        <f>$O58*5/5</f>
        <v>100</v>
      </c>
      <c r="P62" s="163">
        <f xml:space="preserve"> $I$1 * CEILING( 1* $O$62/ FLOOR(1* ( CEILING(($I$1 -20 - 4- 48- ($J$62 - 1) * 24 - 14) * (1 - $I$62/100), 1) - 4) / (MAX(1 * 3 + 4 + 2, ( 3 *1+ 1 * $K$62+ 3 * $L$62+ $M$62 )  )  + 2),1 ), 1 )/1024/1024</f>
        <v>0.1328125</v>
      </c>
      <c r="Q62" s="123"/>
      <c r="R62" s="275" t="s">
        <v>453</v>
      </c>
      <c r="S62" s="275"/>
      <c r="T62" s="275"/>
      <c r="U62" s="275"/>
      <c r="V62" s="275"/>
      <c r="W62" s="280"/>
      <c r="X62" s="280"/>
      <c r="Y62" s="281"/>
    </row>
    <row r="63" spans="2:25" ht="18" customHeight="1">
      <c r="H63" s="163" t="s">
        <v>454</v>
      </c>
      <c r="I63" s="163">
        <v>10</v>
      </c>
      <c r="J63" s="163">
        <v>1</v>
      </c>
      <c r="K63" s="163">
        <v>32</v>
      </c>
      <c r="L63" s="163">
        <v>2</v>
      </c>
      <c r="M63" s="163">
        <v>1403</v>
      </c>
      <c r="N63" s="163">
        <f t="shared" si="1"/>
        <v>1444</v>
      </c>
      <c r="O63" s="163">
        <f>($D7*($D5)*2)+($D7*$D8/100*$D5*50)</f>
        <v>7000</v>
      </c>
      <c r="P63" s="163">
        <f xml:space="preserve"> $I$1 * CEILING( 1* $O$63/ FLOOR(1* ( CEILING(($I$1 -20 - 4- 48- ($J$63 - 1) * 24 - 14) * (1 - $I$63/100), 1) - 4) / (MAX(1 * 3 + 4 + 2, ( 3 *1+ 1 * $K$63+ 3 * $L$63+ $M$63 )  )  + 2),1 ), 1 )/1024/1024</f>
        <v>10.9375</v>
      </c>
      <c r="Q63" s="123" t="s">
        <v>455</v>
      </c>
      <c r="R63" s="275" t="s">
        <v>406</v>
      </c>
      <c r="S63" s="275"/>
      <c r="T63" s="275"/>
      <c r="U63" s="275"/>
      <c r="V63" s="275"/>
      <c r="W63" s="280"/>
      <c r="X63" s="280"/>
      <c r="Y63" s="281"/>
    </row>
    <row r="64" spans="2:25" ht="18" customHeight="1">
      <c r="H64" s="163" t="s">
        <v>456</v>
      </c>
      <c r="I64" s="163">
        <v>10</v>
      </c>
      <c r="J64" s="163">
        <v>1</v>
      </c>
      <c r="K64" s="163">
        <v>6</v>
      </c>
      <c r="L64" s="163">
        <v>0</v>
      </c>
      <c r="M64" s="163">
        <v>119</v>
      </c>
      <c r="N64" s="163">
        <f t="shared" si="1"/>
        <v>128</v>
      </c>
      <c r="O64" s="163">
        <v>10</v>
      </c>
      <c r="P64" s="163">
        <f xml:space="preserve"> $I$1 * CEILING( 1* $O$64/ FLOOR(1* ( CEILING(($I$1 -20 - 4- 48- ($J$64 - 1) * 24 - 14) * (1 - $I$64/100), 1) - 4) / (MAX(1 * 3 + 4 + 2, ( 3 *1+ 1 * $K$64+ 3 * $L$64+ $M$64 )  )  + 2),1 ), 1 )/1024/1024</f>
        <v>7.8125E-3</v>
      </c>
      <c r="Q64" s="123"/>
      <c r="R64" s="275"/>
      <c r="S64" s="275"/>
      <c r="T64" s="275"/>
      <c r="U64" s="275"/>
      <c r="V64" s="275"/>
      <c r="W64" s="280"/>
      <c r="X64" s="280"/>
      <c r="Y64" s="281"/>
    </row>
    <row r="65" spans="8:25" ht="18" customHeight="1">
      <c r="H65" s="163" t="s">
        <v>457</v>
      </c>
      <c r="I65" s="163">
        <v>10</v>
      </c>
      <c r="J65" s="163">
        <v>1</v>
      </c>
      <c r="K65" s="163">
        <v>25</v>
      </c>
      <c r="L65" s="163">
        <v>0</v>
      </c>
      <c r="M65" s="163">
        <v>1298</v>
      </c>
      <c r="N65" s="163">
        <f t="shared" si="1"/>
        <v>1326</v>
      </c>
      <c r="O65" s="163">
        <f>($D7+$D7*0.1)*10*3*$D5</f>
        <v>66000</v>
      </c>
      <c r="P65" s="163">
        <f xml:space="preserve"> $I$1 * CEILING( 1* $O$65/ FLOOR(1* ( CEILING(($I$1 -20 - 4- 48- ($J$65 - 1) * 24 - 14) * (1 - $I$65/100), 1) - 4) / (MAX(1 * 3 + 4 + 2, ( 3 *1+ 1 * $K$65+ 3 * $L$65+ $M$65 )  )  + 2),1 ), 1 )/1024/1024</f>
        <v>103.125</v>
      </c>
      <c r="Q65" s="123" t="s">
        <v>458</v>
      </c>
      <c r="R65" s="275" t="s">
        <v>459</v>
      </c>
      <c r="S65" s="275"/>
      <c r="T65" s="275"/>
      <c r="U65" s="275"/>
      <c r="V65" s="275"/>
      <c r="W65" s="280"/>
      <c r="X65" s="280"/>
      <c r="Y65" s="281"/>
    </row>
    <row r="66" spans="8:25" ht="18" customHeight="1">
      <c r="H66" s="163" t="s">
        <v>460</v>
      </c>
      <c r="I66" s="163">
        <v>10</v>
      </c>
      <c r="J66" s="163">
        <v>1</v>
      </c>
      <c r="K66" s="163">
        <v>19</v>
      </c>
      <c r="L66" s="163">
        <v>5</v>
      </c>
      <c r="M66" s="163">
        <v>5249</v>
      </c>
      <c r="N66" s="163">
        <f t="shared" si="1"/>
        <v>5286</v>
      </c>
      <c r="O66" s="163">
        <f>D7*0.01*$D11</f>
        <v>20</v>
      </c>
      <c r="P66" s="163">
        <f xml:space="preserve"> $I$1 * CEILING( 3* $O$66/ FLOOR(3* ( CEILING(($I$1 -20 - 4- 48- ($J$66 - 1) * 24 - 14) * (1 - $I$66/100), 1) - 4) / (MAX(1 * 3 + 4 + 2, ( 3 *1+ 1 * $K$66+ 3 * $L$66+ $M$66 )  )  + 2),1 ), 1 )/1024/1024</f>
        <v>0.1171875</v>
      </c>
      <c r="Q66" s="123"/>
      <c r="R66" s="275" t="s">
        <v>449</v>
      </c>
      <c r="S66" s="275"/>
      <c r="T66" s="275"/>
      <c r="U66" s="275"/>
      <c r="V66" s="275"/>
      <c r="W66" s="280"/>
      <c r="X66" s="280"/>
      <c r="Y66" s="281"/>
    </row>
    <row r="67" spans="8:25" ht="18" customHeight="1">
      <c r="H67" s="163" t="s">
        <v>461</v>
      </c>
      <c r="I67" s="163">
        <v>10</v>
      </c>
      <c r="J67" s="163">
        <v>1</v>
      </c>
      <c r="K67" s="163">
        <v>18</v>
      </c>
      <c r="L67" s="163">
        <v>1</v>
      </c>
      <c r="M67" s="163">
        <v>479</v>
      </c>
      <c r="N67" s="163">
        <f>3+1*K67+3*L67+M67</f>
        <v>503</v>
      </c>
      <c r="O67" s="163">
        <f>$O34*5</f>
        <v>20000</v>
      </c>
      <c r="P67" s="163">
        <f xml:space="preserve"> $I$1 * CEILING( 1* $O$67/ FLOOR(1* ( CEILING(($I$1 -20 - 4- 48- ($J$67 - 1) * 24 - 14) * (1 - $I$67/100), 1) - 4) / (MAX(1 * 3 + 4 + 2, ( 3 *1+ 1 * $K$67+ 3 * $L$67+ $M$67 )  )  + 2),1 ), 1 )/1024/1024</f>
        <v>11.1640625</v>
      </c>
      <c r="Q67" s="123" t="s">
        <v>540</v>
      </c>
      <c r="R67" s="275" t="s">
        <v>413</v>
      </c>
      <c r="S67" s="275"/>
      <c r="T67" s="275"/>
      <c r="U67" s="275"/>
      <c r="V67" s="275"/>
      <c r="W67" s="280"/>
      <c r="X67" s="280"/>
      <c r="Y67" s="281"/>
    </row>
    <row r="68" spans="8:25" ht="18" customHeight="1">
      <c r="H68" s="163" t="s">
        <v>530</v>
      </c>
      <c r="I68" s="163">
        <v>10</v>
      </c>
      <c r="J68" s="163">
        <v>1</v>
      </c>
      <c r="K68" s="163">
        <v>23</v>
      </c>
      <c r="L68" s="163">
        <v>1</v>
      </c>
      <c r="M68" s="163">
        <v>473</v>
      </c>
      <c r="N68" s="163">
        <f t="shared" si="1"/>
        <v>502</v>
      </c>
      <c r="O68" s="163">
        <f>$O35*50</f>
        <v>113000</v>
      </c>
      <c r="P68" s="163">
        <f xml:space="preserve"> $I$1 * CEILING( 1* $O$68/ FLOOR(1* ( CEILING(($I$1 -20 - 4- 48- ($J$68 - 1) * 24 - 14) * (1 - $I$68/100), 1) - 4) / (MAX(1 * 3 + 4 + 2, ( 3 *1+ 1 * $K$68+ 3 * $L$68+ $M$68 )  )  + 2),1 ), 1 )/1024/1024</f>
        <v>63.0625</v>
      </c>
      <c r="Q68" s="123" t="s">
        <v>541</v>
      </c>
      <c r="R68" s="275" t="s">
        <v>465</v>
      </c>
      <c r="S68" s="275"/>
      <c r="T68" s="275"/>
      <c r="U68" s="275"/>
      <c r="V68" s="275"/>
      <c r="W68" s="280"/>
      <c r="X68" s="280"/>
      <c r="Y68" s="281"/>
    </row>
    <row r="69" spans="8:25" ht="18" customHeight="1">
      <c r="H69" s="163" t="s">
        <v>466</v>
      </c>
      <c r="I69" s="163">
        <v>10</v>
      </c>
      <c r="J69" s="163">
        <v>1</v>
      </c>
      <c r="K69" s="163">
        <v>16</v>
      </c>
      <c r="L69" s="163">
        <v>5</v>
      </c>
      <c r="M69" s="163">
        <v>1802</v>
      </c>
      <c r="N69" s="163">
        <f t="shared" si="1"/>
        <v>1836</v>
      </c>
      <c r="O69" s="163">
        <f>$O35*2</f>
        <v>4520</v>
      </c>
      <c r="P69" s="163">
        <f xml:space="preserve"> $I$1 * CEILING( 2* $O$69/ FLOOR(2* ( CEILING(($I$1 -20 - 4- 48- ($J$69 - 1) * 24 - 14) * (1 - $I$69/100), 1) - 4) / (MAX(1 * 3 + 4 + 2, ( 3 *1+ 1 * $K$69+ 3 * $L$69+ $M$69 )  )  + 2),1 ), 1 )/1024/1024</f>
        <v>10.09375</v>
      </c>
      <c r="Q69" s="123" t="s">
        <v>467</v>
      </c>
      <c r="R69" s="275" t="s">
        <v>447</v>
      </c>
      <c r="S69" s="275"/>
      <c r="T69" s="275"/>
      <c r="U69" s="275"/>
      <c r="V69" s="275"/>
      <c r="W69" s="280"/>
      <c r="X69" s="280"/>
      <c r="Y69" s="281"/>
    </row>
    <row r="70" spans="8:25" ht="18" customHeight="1">
      <c r="H70" s="163" t="s">
        <v>468</v>
      </c>
      <c r="I70" s="163">
        <v>10</v>
      </c>
      <c r="J70" s="163">
        <v>1</v>
      </c>
      <c r="K70" s="163">
        <v>80</v>
      </c>
      <c r="L70" s="163">
        <v>2</v>
      </c>
      <c r="M70" s="163">
        <v>1602</v>
      </c>
      <c r="N70" s="163">
        <f t="shared" si="1"/>
        <v>1691</v>
      </c>
      <c r="O70" s="163">
        <f>$D7*2</f>
        <v>4000</v>
      </c>
      <c r="P70" s="163">
        <f xml:space="preserve"> $I$1 * CEILING( 1* $O$70/ FLOOR(1* ( CEILING(($I$1 -20 - 4- 48- ($J$70 - 1) * 24 - 14) * (1 - $I$70/100), 1) - 4) / (MAX(1 * 3 + 4 + 2, ( 3 *1+ 1 * $K$70+ 3 * $L$70+ $M$70 )  )  + 2),1 ), 1 )/1024/1024</f>
        <v>7.8125</v>
      </c>
      <c r="Q70" s="123" t="s">
        <v>469</v>
      </c>
      <c r="R70" s="275" t="s">
        <v>383</v>
      </c>
      <c r="S70" s="275"/>
      <c r="T70" s="275"/>
      <c r="U70" s="275"/>
      <c r="V70" s="275"/>
      <c r="W70" s="280"/>
      <c r="X70" s="280"/>
      <c r="Y70" s="281"/>
    </row>
    <row r="71" spans="8:25" ht="18" customHeight="1">
      <c r="H71" s="163" t="s">
        <v>470</v>
      </c>
      <c r="I71" s="163">
        <v>10</v>
      </c>
      <c r="J71" s="163">
        <v>1</v>
      </c>
      <c r="K71" s="163">
        <v>38</v>
      </c>
      <c r="L71" s="163">
        <v>0</v>
      </c>
      <c r="M71" s="163">
        <v>441</v>
      </c>
      <c r="N71" s="163">
        <f t="shared" si="1"/>
        <v>482</v>
      </c>
      <c r="O71" s="163">
        <v>500</v>
      </c>
      <c r="P71" s="163">
        <f xml:space="preserve"> $I$1 * CEILING( 1* $O$71/ FLOOR(1* ( CEILING(($I$1 -20 - 4- 48- ($J$71 - 1) * 24 - 14) * (1 - $I$71/100), 1) - 4) / (MAX(1 * 3 + 4 + 2, ( 3 *1+ 1 * $K$71+ 3 * $L$71+ $M$71 )  )  + 2),1 ), 1 )/1024/1024</f>
        <v>0.265625</v>
      </c>
      <c r="Q71" s="123"/>
      <c r="R71" s="275"/>
      <c r="S71" s="275"/>
      <c r="T71" s="275"/>
      <c r="U71" s="275"/>
      <c r="V71" s="275"/>
      <c r="W71" s="280"/>
      <c r="X71" s="280"/>
      <c r="Y71" s="281"/>
    </row>
    <row r="72" spans="8:25" ht="18" customHeight="1">
      <c r="H72" s="163" t="s">
        <v>471</v>
      </c>
      <c r="I72" s="163">
        <v>10</v>
      </c>
      <c r="J72" s="163">
        <v>1</v>
      </c>
      <c r="K72" s="163">
        <v>25</v>
      </c>
      <c r="L72" s="163">
        <v>3</v>
      </c>
      <c r="M72" s="163">
        <v>1141</v>
      </c>
      <c r="N72" s="163">
        <f t="shared" si="1"/>
        <v>1178</v>
      </c>
      <c r="O72" s="163">
        <v>100</v>
      </c>
      <c r="P72" s="163">
        <f xml:space="preserve"> $I$1 * CEILING( 1* $O$72/ FLOOR(1* ( CEILING(($I$1 -20 - 4- 48- ($J$72 - 1) * 24 - 14) * (1 - $I$72/100), 1) - 4) / (MAX(1 * 3 + 4 + 2, ( 3 *1+ 1 * $K$72+ 3 * $L$72+ $M$72 )  )  + 2),1 ), 1 )/1024/1024</f>
        <v>0.1328125</v>
      </c>
      <c r="Q72" s="123"/>
      <c r="R72" s="275"/>
      <c r="S72" s="275"/>
      <c r="T72" s="275"/>
      <c r="U72" s="275"/>
      <c r="V72" s="275"/>
      <c r="W72" s="280"/>
      <c r="X72" s="280"/>
      <c r="Y72" s="281"/>
    </row>
    <row r="73" spans="8:25" ht="18" customHeight="1">
      <c r="H73" s="163" t="s">
        <v>472</v>
      </c>
      <c r="I73" s="163">
        <v>10</v>
      </c>
      <c r="J73" s="163">
        <v>1</v>
      </c>
      <c r="K73" s="163">
        <v>12</v>
      </c>
      <c r="L73" s="163">
        <v>1</v>
      </c>
      <c r="M73" s="163">
        <v>327</v>
      </c>
      <c r="N73" s="163">
        <f t="shared" si="1"/>
        <v>345</v>
      </c>
      <c r="O73" s="163">
        <f>50*10*$D5</f>
        <v>500</v>
      </c>
      <c r="P73" s="163">
        <f xml:space="preserve"> $I$1 * CEILING( 1* $O$73/ FLOOR(1* ( CEILING(($I$1 -20 - 4- 48- ($J$73 - 1) * 24 - 14) * (1 - $I$73/100), 1) - 4) / (MAX(1 * 3 + 4 + 2, ( 3 *1+ 1 * $K$73+ 3 * $L$73+ $M$73 )  )  + 2),1 ), 1 )/1024/1024</f>
        <v>0.1875</v>
      </c>
      <c r="Q73" s="123" t="s">
        <v>473</v>
      </c>
      <c r="R73" s="275" t="s">
        <v>474</v>
      </c>
      <c r="S73" s="275"/>
      <c r="T73" s="275"/>
      <c r="U73" s="275"/>
      <c r="V73" s="275"/>
      <c r="W73" s="280"/>
      <c r="X73" s="280"/>
      <c r="Y73" s="281"/>
    </row>
    <row r="74" spans="8:25" ht="18" customHeight="1">
      <c r="H74" s="163" t="s">
        <v>475</v>
      </c>
      <c r="I74" s="163">
        <v>10</v>
      </c>
      <c r="J74" s="163">
        <v>1</v>
      </c>
      <c r="K74" s="163">
        <v>12</v>
      </c>
      <c r="L74" s="163">
        <v>0</v>
      </c>
      <c r="M74" s="163">
        <v>113</v>
      </c>
      <c r="N74" s="163">
        <f t="shared" si="1"/>
        <v>128</v>
      </c>
      <c r="O74" s="163">
        <f>D7*0.05*$D11</f>
        <v>100</v>
      </c>
      <c r="P74" s="163">
        <f xml:space="preserve"> $I$1 * CEILING( 1* $O$74/ FLOOR(1* ( CEILING(($I$1 -20 - 4- 48- ($J$74 - 1) * 24 - 14) * (1 - $I$74/100), 1) - 4) / (MAX(1 * 3 + 4 + 2, ( 3 *1+ 1 * $K$74+ 3 * $L$74+ $M$74 )  )  + 2),1 ), 1 )/1024/1024</f>
        <v>1.5625E-2</v>
      </c>
      <c r="Q74" s="123"/>
      <c r="R74" s="275" t="s">
        <v>476</v>
      </c>
      <c r="S74" s="275"/>
      <c r="T74" s="275"/>
      <c r="U74" s="275"/>
      <c r="V74" s="275"/>
      <c r="W74" s="280"/>
      <c r="X74" s="280"/>
      <c r="Y74" s="281"/>
    </row>
    <row r="75" spans="8:25" ht="18" customHeight="1">
      <c r="H75" s="163" t="s">
        <v>477</v>
      </c>
      <c r="I75" s="163">
        <v>10</v>
      </c>
      <c r="J75" s="163">
        <v>1</v>
      </c>
      <c r="K75" s="163">
        <v>37</v>
      </c>
      <c r="L75" s="163">
        <v>6</v>
      </c>
      <c r="M75" s="163">
        <v>3738</v>
      </c>
      <c r="N75" s="163">
        <f t="shared" si="1"/>
        <v>3796</v>
      </c>
      <c r="O75" s="163">
        <f>$D7*10</f>
        <v>20000</v>
      </c>
      <c r="P75" s="163">
        <f xml:space="preserve"> $I$1 * CEILING( 3* $O$75/ FLOOR(3* ( CEILING(($I$1 -20 - 4- 48- ($J$75 - 1) * 24 - 14) * (1 - $I$75/100), 1) - 4) / (MAX(1 * 3 + 4 + 2, ( 3 *1+ 1 * $K$75+ 3 * $L$75+ $M$75 )  )  + 2),1 ), 1 )/1024/1024</f>
        <v>93.75</v>
      </c>
      <c r="Q75" s="123" t="s">
        <v>478</v>
      </c>
      <c r="R75" s="275" t="s">
        <v>479</v>
      </c>
      <c r="S75" s="275"/>
      <c r="T75" s="275"/>
      <c r="U75" s="275"/>
      <c r="V75" s="275"/>
      <c r="W75" s="280"/>
      <c r="X75" s="280"/>
      <c r="Y75" s="281"/>
    </row>
    <row r="76" spans="8:25" ht="18" customHeight="1">
      <c r="H76" s="163" t="s">
        <v>480</v>
      </c>
      <c r="I76" s="163">
        <v>10</v>
      </c>
      <c r="J76" s="163">
        <v>1</v>
      </c>
      <c r="K76" s="163">
        <v>39</v>
      </c>
      <c r="L76" s="163">
        <v>2</v>
      </c>
      <c r="M76" s="163">
        <f xml:space="preserve"> E37 - 512 + 1300</f>
        <v>1812</v>
      </c>
      <c r="N76" s="163">
        <f t="shared" si="1"/>
        <v>1860</v>
      </c>
      <c r="O76" s="163">
        <f>$O75*10</f>
        <v>200000</v>
      </c>
      <c r="P76" s="163">
        <f xml:space="preserve"> $I$1 * CEILING( 2* $O$76/ FLOOR(2* ( CEILING(($I$1 -20 - 4- 48- ($J$76 - 1) * 24 - 14) * (1 - $I$76/100), 1) - 4) / (MAX(1 * 3 + 4 + 2, ( 3 *1+ 1 * $K$76+ 3 * $L$76+ $M$76 )  )  + 2),1 ), 1 )/1024/1024</f>
        <v>446.4296875</v>
      </c>
      <c r="Q76" s="123" t="s">
        <v>481</v>
      </c>
      <c r="R76" s="275" t="s">
        <v>482</v>
      </c>
      <c r="S76" s="275"/>
      <c r="T76" s="275"/>
      <c r="U76" s="275"/>
      <c r="V76" s="275"/>
      <c r="W76" s="280"/>
      <c r="X76" s="280"/>
      <c r="Y76" s="281"/>
    </row>
    <row r="77" spans="8:25" ht="18" customHeight="1">
      <c r="H77" s="163" t="s">
        <v>531</v>
      </c>
      <c r="I77" s="163">
        <v>10</v>
      </c>
      <c r="J77" s="163">
        <v>1</v>
      </c>
      <c r="K77" s="163">
        <v>21</v>
      </c>
      <c r="L77" s="163">
        <v>2</v>
      </c>
      <c r="M77" s="163">
        <v>469</v>
      </c>
      <c r="N77" s="163">
        <f>3+1*K77+3*L77+M77</f>
        <v>499</v>
      </c>
      <c r="O77" s="163">
        <f>$O75*20</f>
        <v>400000</v>
      </c>
      <c r="P77" s="163">
        <f xml:space="preserve"> $I$1 * CEILING( 2* $O$77/ FLOOR(2* ( CEILING(($I$1 -20 - 4- 48- ($J$77 - 1) * 24 - 14) * (1 - $I$77/100), 1) - 4) / (MAX(1 * 3 + 4 + 2, ( 3 *1+ 1 * $K$77+ 3 * $L$77+ $M$77 )  )  + 2),1 ), 1 )/1024/1024</f>
        <v>215.5234375</v>
      </c>
      <c r="Q77" s="123" t="s">
        <v>481</v>
      </c>
      <c r="R77" s="275" t="s">
        <v>484</v>
      </c>
      <c r="S77" s="275"/>
      <c r="T77" s="275"/>
      <c r="U77" s="275"/>
      <c r="V77" s="275"/>
      <c r="W77" s="280"/>
      <c r="X77" s="280"/>
      <c r="Y77" s="281"/>
    </row>
    <row r="78" spans="8:25" ht="18" customHeight="1">
      <c r="H78" s="163" t="s">
        <v>485</v>
      </c>
      <c r="I78" s="163">
        <v>10</v>
      </c>
      <c r="J78" s="163">
        <v>1</v>
      </c>
      <c r="K78" s="163">
        <v>43</v>
      </c>
      <c r="L78" s="163">
        <v>0</v>
      </c>
      <c r="M78" s="163">
        <v>501</v>
      </c>
      <c r="N78" s="163">
        <f t="shared" si="1"/>
        <v>547</v>
      </c>
      <c r="O78" s="163">
        <f>50*3*$D5</f>
        <v>150</v>
      </c>
      <c r="P78" s="163">
        <f xml:space="preserve"> $I$1 * CEILING( 1* $O$78/ FLOOR(1* ( CEILING(($I$1 -20 - 4- 48- ($J$78 - 1) * 24 - 14) * (1 - $I$78/100), 1) - 4) / (MAX(1 * 3 + 4 + 2, ( 3 *1+ 1 * $K$78+ 3 * $L$78+ $M$78 )  )  + 2),1 ), 1 )/1024/1024</f>
        <v>9.375E-2</v>
      </c>
      <c r="Q78" s="123" t="s">
        <v>486</v>
      </c>
      <c r="R78" s="275" t="s">
        <v>487</v>
      </c>
      <c r="S78" s="275"/>
      <c r="T78" s="275"/>
      <c r="U78" s="275"/>
      <c r="V78" s="275"/>
      <c r="W78" s="280"/>
      <c r="X78" s="280"/>
      <c r="Y78" s="281"/>
    </row>
    <row r="79" spans="8:25" ht="18" customHeight="1">
      <c r="H79" s="163" t="s">
        <v>488</v>
      </c>
      <c r="I79" s="163">
        <v>10</v>
      </c>
      <c r="J79" s="163">
        <v>1</v>
      </c>
      <c r="K79" s="163">
        <v>26</v>
      </c>
      <c r="L79" s="163">
        <v>8</v>
      </c>
      <c r="M79" s="163">
        <v>4540</v>
      </c>
      <c r="N79" s="163">
        <f t="shared" si="1"/>
        <v>4593</v>
      </c>
      <c r="O79" s="163">
        <v>20</v>
      </c>
      <c r="P79" s="163">
        <f xml:space="preserve"> $I$1 * CEILING( 3* $O$79/ FLOOR(3* ( CEILING(($I$1 -20 - 4- 48- ($J$79 - 1) * 24 - 14) * (1 - $I$79/100), 1) - 4) / (MAX(1 * 3 + 4 + 2, ( 3 *1+ 1 * $K$79+ 3 * $L$79+ $M$79 )  )  + 2),1 ), 1 )/1024/1024</f>
        <v>0.1171875</v>
      </c>
      <c r="Q79" s="123" t="s">
        <v>489</v>
      </c>
      <c r="R79" s="275" t="s">
        <v>490</v>
      </c>
      <c r="S79" s="275"/>
      <c r="T79" s="275"/>
      <c r="U79" s="275"/>
      <c r="V79" s="275"/>
      <c r="W79" s="280"/>
      <c r="X79" s="280"/>
      <c r="Y79" s="281"/>
    </row>
    <row r="80" spans="8:25" ht="18" customHeight="1">
      <c r="H80" s="163" t="s">
        <v>491</v>
      </c>
      <c r="I80" s="163">
        <v>10</v>
      </c>
      <c r="J80" s="163">
        <v>1</v>
      </c>
      <c r="K80" s="163">
        <v>38</v>
      </c>
      <c r="L80" s="163">
        <v>2</v>
      </c>
      <c r="M80" s="163">
        <v>1040</v>
      </c>
      <c r="N80" s="163">
        <f t="shared" si="1"/>
        <v>1087</v>
      </c>
      <c r="O80" s="163">
        <v>400</v>
      </c>
      <c r="P80" s="163">
        <f xml:space="preserve"> $I$1 * CEILING( 1* $O$80/ FLOOR(1* ( CEILING(($I$1 -20 - 4- 48- ($J$80 - 1) * 24 - 14) * (1 - $I$80/100), 1) - 4) / (MAX(1 * 3 + 4 + 2, ( 3 *1+ 1 * $K$80+ 3 * $L$80+ $M$80 )  )  + 2),1 ), 1 )/1024/1024</f>
        <v>0.5234375</v>
      </c>
      <c r="Q80" s="123" t="s">
        <v>492</v>
      </c>
      <c r="R80" s="275" t="s">
        <v>493</v>
      </c>
      <c r="S80" s="275"/>
      <c r="T80" s="275"/>
      <c r="U80" s="275"/>
      <c r="V80" s="275"/>
      <c r="W80" s="280"/>
      <c r="X80" s="280"/>
      <c r="Y80" s="281"/>
    </row>
    <row r="81" spans="4:25" ht="18" customHeight="1">
      <c r="H81" s="163" t="s">
        <v>494</v>
      </c>
      <c r="I81" s="163">
        <v>10</v>
      </c>
      <c r="J81" s="163">
        <v>1</v>
      </c>
      <c r="K81" s="163">
        <v>13</v>
      </c>
      <c r="L81" s="163">
        <v>2</v>
      </c>
      <c r="M81" s="163">
        <v>1091</v>
      </c>
      <c r="N81" s="163">
        <f t="shared" si="1"/>
        <v>1113</v>
      </c>
      <c r="O81" s="163">
        <f>$O62*0.1*$D11</f>
        <v>10</v>
      </c>
      <c r="P81" s="163">
        <f xml:space="preserve"> $I$1 * CEILING( 1* $O$81/ FLOOR(1* ( CEILING(($I$1 -20 - 4- 48- ($J$81 - 1) * 24 - 14) * (1 - $I$81/100), 1) - 4) / (MAX(1 * 3 + 4 + 2, ( 3 *1+ 1 * $K$81+ 3 * $L$81+ $M$81 )  )  + 2),1 ), 1 )/1024/1024</f>
        <v>1.5625E-2</v>
      </c>
      <c r="Q81" s="123"/>
      <c r="R81" s="275"/>
      <c r="S81" s="275"/>
      <c r="T81" s="275"/>
      <c r="U81" s="275"/>
      <c r="V81" s="275"/>
      <c r="W81" s="280"/>
      <c r="X81" s="280"/>
      <c r="Y81" s="281"/>
    </row>
    <row r="82" spans="4:25" ht="18" customHeight="1">
      <c r="D82" s="296"/>
      <c r="E82" s="296"/>
      <c r="H82" s="163" t="s">
        <v>495</v>
      </c>
      <c r="I82" s="163">
        <v>10</v>
      </c>
      <c r="J82" s="163">
        <v>1</v>
      </c>
      <c r="K82" s="163">
        <v>41</v>
      </c>
      <c r="L82" s="163">
        <v>0</v>
      </c>
      <c r="M82" s="163">
        <v>160</v>
      </c>
      <c r="N82" s="163">
        <f t="shared" si="1"/>
        <v>204</v>
      </c>
      <c r="O82" s="163">
        <v>100</v>
      </c>
      <c r="P82" s="163">
        <f xml:space="preserve"> $I$1 * CEILING( 1* $O$82/ FLOOR(1* ( CEILING(($I$1 -20 - 4- 48- ($J$82 - 1) * 24 - 14) * (1 - $I$82/100), 1) - 4) / (MAX(1 * 3 + 4 + 2, ( 3 *1+ 1 * $K$82+ 3 * $L$82+ $M$82 )  )  + 2),1 ), 1 )/1024/1024</f>
        <v>2.34375E-2</v>
      </c>
      <c r="Q82" s="123"/>
      <c r="R82" s="275"/>
      <c r="S82" s="275"/>
      <c r="T82" s="275"/>
      <c r="U82" s="275"/>
      <c r="V82" s="275"/>
      <c r="W82" s="280"/>
      <c r="X82" s="280"/>
      <c r="Y82" s="281"/>
    </row>
    <row r="83" spans="4:25" ht="18" customHeight="1">
      <c r="D83" s="296"/>
      <c r="E83" s="296"/>
      <c r="H83" s="163" t="s">
        <v>496</v>
      </c>
      <c r="I83" s="163">
        <v>10</v>
      </c>
      <c r="J83" s="163">
        <v>1</v>
      </c>
      <c r="K83" s="163">
        <v>14</v>
      </c>
      <c r="L83" s="163">
        <v>1</v>
      </c>
      <c r="M83" s="163">
        <v>421</v>
      </c>
      <c r="N83" s="163">
        <f t="shared" si="1"/>
        <v>441</v>
      </c>
      <c r="O83" s="163">
        <f>($D7*3)+($D7*$D8/100*$D5)*3</f>
        <v>6180</v>
      </c>
      <c r="P83" s="163">
        <f xml:space="preserve"> $I$1 * CEILING( 1* $O$83/ FLOOR(1* ( CEILING(($I$1 -20 - 4- 48- ($J$83 - 1) * 24 - 14) * (1 - $I$83/100), 1) - 4) / (MAX(1 * 3 + 4 + 2, ( 3 *1+ 1 * $K$83+ 3 * $L$83+ $M$83 )  )  + 2),1 ), 1 )/1024/1024</f>
        <v>3.0234375</v>
      </c>
      <c r="Q83" s="123" t="s">
        <v>497</v>
      </c>
      <c r="R83" s="275" t="s">
        <v>498</v>
      </c>
      <c r="S83" s="275"/>
      <c r="T83" s="275"/>
      <c r="U83" s="275"/>
      <c r="V83" s="275"/>
      <c r="W83" s="280"/>
      <c r="X83" s="280"/>
      <c r="Y83" s="281"/>
    </row>
    <row r="84" spans="4:25" ht="18" customHeight="1">
      <c r="D84" s="296"/>
      <c r="E84" s="296"/>
      <c r="H84" s="163" t="s">
        <v>499</v>
      </c>
      <c r="I84" s="163">
        <v>10</v>
      </c>
      <c r="J84" s="163">
        <v>1</v>
      </c>
      <c r="K84" s="163">
        <v>16</v>
      </c>
      <c r="L84" s="163">
        <v>0</v>
      </c>
      <c r="M84" s="163">
        <v>94</v>
      </c>
      <c r="N84" s="163">
        <f t="shared" si="1"/>
        <v>113</v>
      </c>
      <c r="O84" s="163">
        <v>1000</v>
      </c>
      <c r="P84" s="163">
        <f xml:space="preserve"> $I$1 * CEILING( 1* $O$84/ FLOOR(1* ( CEILING(($I$1 -20 - 4- 48- ($J$84 - 1) * 24 - 14) * (1 - $I$84/100), 1) - 4) / (MAX(1 * 3 + 4 + 2, ( 3 *1+ 1 * $K$84+ 3 * $L$84+ $M$84 )  )  + 2),1 ), 1 )/1024/1024</f>
        <v>0.125</v>
      </c>
      <c r="Q84" s="123"/>
      <c r="R84" s="275"/>
      <c r="S84" s="275"/>
      <c r="T84" s="275"/>
      <c r="U84" s="275"/>
      <c r="V84" s="275"/>
      <c r="W84" s="280"/>
      <c r="X84" s="280"/>
      <c r="Y84" s="281"/>
    </row>
    <row r="85" spans="4:25" ht="18" customHeight="1">
      <c r="D85" s="296">
        <f>IF((D30 * E30)=0,0,(D30 * E30))</f>
        <v>7650</v>
      </c>
      <c r="E85" s="296"/>
      <c r="H85" s="163" t="s">
        <v>500</v>
      </c>
      <c r="I85" s="163">
        <v>10</v>
      </c>
      <c r="J85" s="163">
        <v>1</v>
      </c>
      <c r="K85" s="163">
        <v>19</v>
      </c>
      <c r="L85" s="163">
        <v>4</v>
      </c>
      <c r="M85" s="163">
        <v>2205</v>
      </c>
      <c r="N85" s="163">
        <f t="shared" si="1"/>
        <v>2239</v>
      </c>
      <c r="O85" s="163">
        <v>1400</v>
      </c>
      <c r="P85" s="163">
        <f xml:space="preserve"> $I$1 * CEILING( 2* $O$85/ FLOOR(2* ( CEILING(($I$1 -20 - 4- 48- ($J$85 - 1) * 24 - 14) * (1 - $I$85/100), 1) - 4) / (MAX(1 * 3 + 4 + 2, ( 3 *1+ 1 * $K$85+ 3 * $L$85+ $M$85 )  )  + 2),1 ), 1 )/1024/1024</f>
        <v>3.6484375</v>
      </c>
      <c r="Q85" s="123"/>
      <c r="R85" s="275"/>
      <c r="S85" s="275"/>
      <c r="T85" s="275"/>
      <c r="U85" s="275"/>
      <c r="V85" s="275"/>
      <c r="W85" s="280"/>
      <c r="X85" s="280"/>
      <c r="Y85" s="281"/>
    </row>
    <row r="86" spans="4:25" ht="18" customHeight="1">
      <c r="D86" s="296">
        <f>IF((D31 * E31)=0,0,(D31 * E31))</f>
        <v>7650</v>
      </c>
      <c r="E86" s="296"/>
      <c r="H86" s="163" t="s">
        <v>501</v>
      </c>
      <c r="I86" s="163">
        <v>10</v>
      </c>
      <c r="J86" s="163">
        <v>1</v>
      </c>
      <c r="K86" s="163">
        <v>69</v>
      </c>
      <c r="L86" s="163">
        <v>0</v>
      </c>
      <c r="M86" s="163">
        <v>435</v>
      </c>
      <c r="N86" s="163">
        <f t="shared" si="1"/>
        <v>507</v>
      </c>
      <c r="O86" s="163">
        <f>$O83*5</f>
        <v>30900</v>
      </c>
      <c r="P86" s="163">
        <f xml:space="preserve"> $I$1 * CEILING( 1* $O$86/ FLOOR(1* ( CEILING(($I$1 -20 - 4- 48- ($J$86 - 1) * 24 - 14) * (1 - $I$86/100), 1) - 4) / (MAX(1 * 3 + 4 + 2, ( 3 *1+ 1 * $K$86+ 3 * $L$86+ $M$86 )  )  + 2),1 ), 1 )/1024/1024</f>
        <v>17.25</v>
      </c>
      <c r="Q86" s="123" t="s">
        <v>502</v>
      </c>
      <c r="R86" s="275"/>
      <c r="S86" s="275"/>
      <c r="T86" s="275"/>
      <c r="U86" s="275"/>
      <c r="V86" s="275"/>
      <c r="W86" s="280"/>
      <c r="X86" s="280"/>
      <c r="Y86" s="281"/>
    </row>
    <row r="87" spans="4:25" ht="18" customHeight="1">
      <c r="D87" s="296">
        <f>IF((D32 * E32)=0,0,(D32 * E32))</f>
        <v>2550</v>
      </c>
      <c r="E87" s="296"/>
      <c r="H87" s="163" t="s">
        <v>503</v>
      </c>
      <c r="I87" s="163">
        <v>10</v>
      </c>
      <c r="J87" s="163">
        <v>1</v>
      </c>
      <c r="K87" s="163">
        <v>15</v>
      </c>
      <c r="L87" s="163">
        <v>0</v>
      </c>
      <c r="M87" s="163">
        <v>95</v>
      </c>
      <c r="N87" s="163">
        <f t="shared" si="1"/>
        <v>113</v>
      </c>
      <c r="O87" s="163">
        <f>$O86*10</f>
        <v>309000</v>
      </c>
      <c r="P87" s="163">
        <f xml:space="preserve"> $I$1 * CEILING( 1* $O$87/ FLOOR(1* ( CEILING(($I$1 -20 - 4- 48- ($J$87 - 1) * 24 - 14) * (1 - $I$87/100), 1) - 4) / (MAX(1 * 3 + 4 + 2, ( 3 *1+ 1 * $K$87+ 3 * $L$87+ $M$87 )  )  + 2),1 ), 1 )/1024/1024</f>
        <v>38.3203125</v>
      </c>
      <c r="Q87" s="123"/>
      <c r="R87" s="275"/>
      <c r="S87" s="275"/>
      <c r="T87" s="275"/>
      <c r="U87" s="275"/>
      <c r="V87" s="275"/>
      <c r="W87" s="280"/>
      <c r="X87" s="280"/>
      <c r="Y87" s="281"/>
    </row>
    <row r="88" spans="4:25" ht="18" customHeight="1">
      <c r="D88" s="296"/>
      <c r="E88" s="296"/>
      <c r="H88" s="163" t="s">
        <v>504</v>
      </c>
      <c r="I88" s="163">
        <v>10</v>
      </c>
      <c r="J88" s="163">
        <v>1</v>
      </c>
      <c r="K88" s="163">
        <v>32</v>
      </c>
      <c r="L88" s="163">
        <v>1</v>
      </c>
      <c r="M88" s="163">
        <v>674</v>
      </c>
      <c r="N88" s="163">
        <f t="shared" si="1"/>
        <v>712</v>
      </c>
      <c r="O88" s="163">
        <v>100</v>
      </c>
      <c r="P88" s="163">
        <f xml:space="preserve"> $I$1 * CEILING( 1* $O$88/ FLOOR(1* ( CEILING(($I$1 -20 - 4- 48- ($J$88 - 1) * 24 - 14) * (1 - $I$88/100), 1) - 4) / (MAX(1 * 3 + 4 + 2, ( 3 *1+ 1 * $K$88+ 3 * $L$88+ $M$88 )  )  + 2),1 ), 1 )/1024/1024</f>
        <v>7.8125E-2</v>
      </c>
      <c r="Q88" s="123"/>
      <c r="R88" s="275"/>
      <c r="S88" s="275"/>
      <c r="T88" s="275"/>
      <c r="U88" s="275"/>
      <c r="V88" s="275"/>
      <c r="W88" s="280"/>
      <c r="X88" s="280"/>
      <c r="Y88" s="281"/>
    </row>
    <row r="89" spans="4:25" ht="18" customHeight="1">
      <c r="H89" s="163" t="s">
        <v>505</v>
      </c>
      <c r="I89" s="163">
        <v>10</v>
      </c>
      <c r="J89" s="163">
        <v>1</v>
      </c>
      <c r="K89" s="163">
        <v>163</v>
      </c>
      <c r="L89" s="163">
        <v>0</v>
      </c>
      <c r="M89" s="163">
        <v>2185</v>
      </c>
      <c r="N89" s="163">
        <f t="shared" si="1"/>
        <v>2351</v>
      </c>
      <c r="O89" s="163">
        <f>($D7*($D5)*5)+($D7*$D8/100*$D5*100)</f>
        <v>16000</v>
      </c>
      <c r="P89" s="163">
        <f xml:space="preserve"> $I$1 * CEILING( 2* $O$89/ FLOOR(2* ( CEILING(($I$1 -20 - 4- 48- ($J$89 - 1) * 24 - 14) * (1 - $I$89/100), 1) - 4) / (MAX(1 * 3 + 4 + 2, ( 3 *1+ 1 * $K$89+ 3 * $L$89+ $M$89 )  )  + 2),1 ), 1 )/1024/1024</f>
        <v>41.671875</v>
      </c>
      <c r="Q89" s="123" t="s">
        <v>506</v>
      </c>
      <c r="R89" s="275" t="s">
        <v>398</v>
      </c>
      <c r="S89" s="275"/>
      <c r="T89" s="275"/>
      <c r="U89" s="275"/>
      <c r="V89" s="275"/>
      <c r="W89" s="280"/>
      <c r="X89" s="280"/>
      <c r="Y89" s="281"/>
    </row>
    <row r="90" spans="4:25" ht="18" customHeight="1">
      <c r="H90" s="163" t="s">
        <v>507</v>
      </c>
      <c r="I90" s="163">
        <v>10</v>
      </c>
      <c r="J90" s="163">
        <v>1</v>
      </c>
      <c r="K90" s="163">
        <v>17</v>
      </c>
      <c r="L90" s="163">
        <v>2</v>
      </c>
      <c r="M90" s="163">
        <v>728</v>
      </c>
      <c r="N90" s="163">
        <f t="shared" si="1"/>
        <v>754</v>
      </c>
      <c r="O90" s="163">
        <f>$O35*5</f>
        <v>11300</v>
      </c>
      <c r="P90" s="163">
        <f xml:space="preserve"> $I$1 * CEILING( 1* $O$90/ FLOOR(1* ( CEILING(($I$1 -20 - 4- 48- ($J$90 - 1) * 24 - 14) * (1 - $I$90/100), 1) - 4) / (MAX(1 * 3 + 4 + 2, ( 3 *1+ 1 * $K$90+ 3 * $L$90+ $M$90 )  )  + 2),1 ), 1 )/1024/1024</f>
        <v>9.8125</v>
      </c>
      <c r="Q90" s="123" t="s">
        <v>508</v>
      </c>
      <c r="R90" s="275" t="s">
        <v>413</v>
      </c>
      <c r="S90" s="275"/>
      <c r="T90" s="275"/>
      <c r="U90" s="275"/>
      <c r="V90" s="275"/>
      <c r="W90" s="280"/>
      <c r="X90" s="280"/>
      <c r="Y90" s="281"/>
    </row>
    <row r="91" spans="4:25" ht="18" customHeight="1">
      <c r="H91" s="163" t="s">
        <v>509</v>
      </c>
      <c r="I91" s="163">
        <v>10</v>
      </c>
      <c r="J91" s="163">
        <v>1</v>
      </c>
      <c r="K91" s="163">
        <v>13</v>
      </c>
      <c r="L91" s="163">
        <v>0</v>
      </c>
      <c r="M91" s="163">
        <v>77</v>
      </c>
      <c r="N91" s="163">
        <f t="shared" si="1"/>
        <v>93</v>
      </c>
      <c r="O91" s="163">
        <f>$O35*0.1</f>
        <v>226</v>
      </c>
      <c r="P91" s="163">
        <f xml:space="preserve"> $I$1 * CEILING( 1* $O$91/ FLOOR(1* ( CEILING(($I$1 -20 - 4- 48- ($J$91 - 1) * 24 - 14) * (1 - $I$91/100), 1) - 4) / (MAX(1 * 3 + 4 + 2, ( 3 *1+ 1 * $K$91+ 3 * $L$91+ $M$91 )  )  + 2),1 ), 1 )/1024/1024</f>
        <v>2.34375E-2</v>
      </c>
      <c r="Q91" s="123" t="s">
        <v>510</v>
      </c>
      <c r="R91" s="275" t="s">
        <v>511</v>
      </c>
      <c r="S91" s="275"/>
      <c r="T91" s="275"/>
      <c r="U91" s="275"/>
      <c r="V91" s="275"/>
      <c r="W91" s="280"/>
      <c r="X91" s="280"/>
      <c r="Y91" s="281"/>
    </row>
    <row r="92" spans="4:25" ht="18" customHeight="1">
      <c r="H92" s="163" t="s">
        <v>512</v>
      </c>
      <c r="I92" s="163">
        <v>10</v>
      </c>
      <c r="J92" s="163">
        <v>1</v>
      </c>
      <c r="K92" s="163">
        <v>19</v>
      </c>
      <c r="L92" s="163">
        <v>0</v>
      </c>
      <c r="M92" s="163">
        <v>143</v>
      </c>
      <c r="N92" s="163">
        <f t="shared" si="1"/>
        <v>165</v>
      </c>
      <c r="O92" s="163">
        <f>(D7+(D7*0.1)+(D7*$D8/100)*D5)*$D11</f>
        <v>2260</v>
      </c>
      <c r="P92" s="163">
        <f xml:space="preserve"> $I$1 * CEILING( 1* $O$92/ FLOOR(1* ( CEILING(($I$1 -20 - 4- 48- ($J$92 - 1) * 24 - 14) * (1 - $I$92/100), 1) - 4) / (MAX(1 * 3 + 4 + 2, ( 3 *1+ 1 * $K$92+ 3 * $L$92+ $M$92 )  )  + 2),1 ), 1 )/1024/1024</f>
        <v>0.4140625</v>
      </c>
      <c r="Q92" s="123"/>
      <c r="R92" s="275"/>
      <c r="S92" s="275"/>
      <c r="T92" s="275"/>
      <c r="U92" s="275"/>
      <c r="V92" s="275"/>
      <c r="W92" s="280"/>
      <c r="X92" s="280"/>
      <c r="Y92" s="281"/>
    </row>
    <row r="93" spans="4:25" ht="18" customHeight="1">
      <c r="H93" s="163" t="s">
        <v>513</v>
      </c>
      <c r="I93" s="163">
        <v>10</v>
      </c>
      <c r="J93" s="163">
        <v>1</v>
      </c>
      <c r="K93" s="163">
        <v>39</v>
      </c>
      <c r="L93" s="163">
        <v>8</v>
      </c>
      <c r="M93" s="163">
        <v>14678</v>
      </c>
      <c r="N93" s="163">
        <f t="shared" si="1"/>
        <v>14744</v>
      </c>
      <c r="O93" s="163">
        <f>$D7*0.2</f>
        <v>400</v>
      </c>
      <c r="P93" s="163">
        <f xml:space="preserve"> $I$1 * CEILING( 4* $O$93/ FLOOR(4* ( CEILING(($I$1 -20 - 4- 48- ($J$93 - 1) * 24 - 14) * (1 - $I$93/100), 1) - 4) / (MAX(1 * 3 + 4 + 2, ( 3 *1+ 1 * $K$93+ 3 * $L$93+ $M$93 )  )  + 2),1 ), 1 )/1024/1024</f>
        <v>12.5</v>
      </c>
      <c r="Q93" s="123"/>
      <c r="R93" s="275" t="s">
        <v>514</v>
      </c>
      <c r="S93" s="275"/>
      <c r="T93" s="275"/>
      <c r="U93" s="275"/>
      <c r="V93" s="275"/>
      <c r="W93" s="280"/>
      <c r="X93" s="280"/>
      <c r="Y93" s="281"/>
    </row>
    <row r="94" spans="4:25" ht="18" customHeight="1">
      <c r="H94" s="163" t="s">
        <v>515</v>
      </c>
      <c r="I94" s="163">
        <v>10</v>
      </c>
      <c r="J94" s="163">
        <v>1</v>
      </c>
      <c r="K94" s="163">
        <v>12</v>
      </c>
      <c r="L94" s="163">
        <v>0</v>
      </c>
      <c r="M94" s="163">
        <v>162</v>
      </c>
      <c r="N94" s="163">
        <f t="shared" si="1"/>
        <v>177</v>
      </c>
      <c r="O94" s="163">
        <f>15*$D11</f>
        <v>15</v>
      </c>
      <c r="P94" s="163">
        <f xml:space="preserve"> $I$1 * CEILING( 1* $O$94/ FLOOR(1* ( CEILING(($I$1 -20 - 4- 48- ($J$94 - 1) * 24 - 14) * (1 - $I$94/100), 1) - 4) / (MAX(1 * 3 + 4 + 2, ( 3 *1+ 1 * $K$94+ 3 * $L$94+ $M$94 )  )  + 2),1 ), 1 )/1024/1024</f>
        <v>7.8125E-3</v>
      </c>
      <c r="Q94" s="123"/>
      <c r="R94" s="275"/>
      <c r="S94" s="275"/>
      <c r="T94" s="275"/>
      <c r="U94" s="275"/>
      <c r="V94" s="275"/>
      <c r="W94" s="280"/>
      <c r="X94" s="280"/>
      <c r="Y94" s="281"/>
    </row>
    <row r="95" spans="4:25" ht="18" customHeight="1">
      <c r="H95" s="163" t="s">
        <v>516</v>
      </c>
      <c r="I95" s="163">
        <v>10</v>
      </c>
      <c r="J95" s="163">
        <v>1</v>
      </c>
      <c r="K95" s="163">
        <v>24</v>
      </c>
      <c r="L95" s="163">
        <v>1</v>
      </c>
      <c r="M95" s="163">
        <v>793</v>
      </c>
      <c r="N95" s="163">
        <f t="shared" si="1"/>
        <v>823</v>
      </c>
      <c r="O95" s="163">
        <f>$O35</f>
        <v>2260</v>
      </c>
      <c r="P95" s="163">
        <f xml:space="preserve"> $I$1 * CEILING( 1* $O$95/ FLOOR(1* ( CEILING(($I$1 -20 - 4- 48- ($J$95 - 1) * 24 - 14) * (1 - $I$95/100), 1) - 4) / (MAX(1 * 3 + 4 + 2, ( 3 *1+ 1 * $K$95+ 3 * $L$95+ $M$95 )  )  + 2),1 ), 1 )/1024/1024</f>
        <v>2.2109375</v>
      </c>
      <c r="Q95" s="123" t="s">
        <v>517</v>
      </c>
      <c r="R95" s="275" t="s">
        <v>360</v>
      </c>
      <c r="S95" s="275"/>
      <c r="T95" s="275"/>
      <c r="U95" s="275"/>
      <c r="V95" s="275"/>
      <c r="W95" s="280"/>
      <c r="X95" s="280"/>
      <c r="Y95" s="281"/>
    </row>
    <row r="96" spans="4:25" ht="18" customHeight="1">
      <c r="H96" s="163" t="s">
        <v>596</v>
      </c>
      <c r="I96" s="163">
        <v>10</v>
      </c>
      <c r="J96" s="163">
        <v>1</v>
      </c>
      <c r="K96" s="163">
        <v>8</v>
      </c>
      <c r="L96" s="163">
        <v>2</v>
      </c>
      <c r="M96" s="163">
        <v>8927</v>
      </c>
      <c r="N96" s="163">
        <f t="shared" ref="N96" si="2">3+1*K96+3*L96+M96</f>
        <v>8944</v>
      </c>
      <c r="O96" s="163">
        <f>D7*10*$D11</f>
        <v>20000</v>
      </c>
      <c r="P96" s="163">
        <f xml:space="preserve"> $I$1 * CEILING( 4* $O$96/ FLOOR(4* ( CEILING(($I$1 -20 - 4- 48- ($J$96 - 1) * 24 - 14) * (1 - $I$96/100), 1) - 4) / (MAX(1 * 3 + 4 + 2, ( 3 *1+ 1 * $K$96+ 3 * $L$96+ $M$96 )  )  + 2),1 ), 1 )/1024/1024</f>
        <v>208.3359375</v>
      </c>
      <c r="Q96" s="123" t="s">
        <v>597</v>
      </c>
      <c r="R96" s="275"/>
      <c r="S96" s="275" t="s">
        <v>599</v>
      </c>
      <c r="T96" s="275"/>
      <c r="U96" s="275"/>
      <c r="V96" s="275"/>
      <c r="W96" s="280"/>
      <c r="X96" s="280"/>
      <c r="Y96" s="281"/>
    </row>
    <row r="97" spans="7:25" ht="18" customHeight="1">
      <c r="H97" s="163" t="s">
        <v>598</v>
      </c>
      <c r="I97" s="163">
        <v>10</v>
      </c>
      <c r="J97" s="163">
        <v>1</v>
      </c>
      <c r="K97" s="163">
        <v>6</v>
      </c>
      <c r="L97" s="163">
        <v>0</v>
      </c>
      <c r="M97" s="163">
        <v>88</v>
      </c>
      <c r="N97" s="163">
        <f t="shared" ref="N97" si="3">3+1*K97+3*L97+M97</f>
        <v>97</v>
      </c>
      <c r="O97" s="163">
        <f>D8*10*$D11</f>
        <v>30</v>
      </c>
      <c r="P97" s="163">
        <f xml:space="preserve"> $I$1 * CEILING( 4* $O$97/ FLOOR(4* ( CEILING(($I$1 -20 - 4- 48- ($J$97 - 1) * 24 - 14) * (1 - $I$97/100), 1) - 4) / (MAX(1 * 3 + 4 + 2, ( 3 *1+ 1 * $K$97+ 3 * $L$97+ $M$97 )  )  + 2),1 ), 1 )/1024/1024</f>
        <v>7.8125E-3</v>
      </c>
      <c r="Q97" s="123" t="s">
        <v>597</v>
      </c>
      <c r="R97" s="275"/>
      <c r="S97" s="275" t="s">
        <v>599</v>
      </c>
      <c r="T97" s="275"/>
      <c r="U97" s="275"/>
      <c r="V97" s="275"/>
      <c r="W97" s="280"/>
      <c r="X97" s="280"/>
      <c r="Y97" s="281"/>
    </row>
    <row r="98" spans="7:25" ht="18" customHeight="1">
      <c r="H98" s="131"/>
      <c r="I98" s="131"/>
      <c r="J98" s="131"/>
      <c r="K98" s="102">
        <f>AVERAGE(K5:K96)</f>
        <v>35.358695652173914</v>
      </c>
      <c r="L98" s="131"/>
      <c r="M98" s="131"/>
      <c r="N98" s="125"/>
      <c r="O98" s="106">
        <f>SUM(O4:O97)</f>
        <v>1935408.7</v>
      </c>
      <c r="P98" s="107">
        <f>SUM(P4:P97)</f>
        <v>2267.15625</v>
      </c>
    </row>
    <row r="99" spans="7:25" ht="18" customHeight="1">
      <c r="H99" s="131"/>
      <c r="I99" s="131"/>
      <c r="J99" s="131"/>
      <c r="K99" s="131"/>
      <c r="L99" s="131"/>
      <c r="M99" s="131"/>
      <c r="N99" s="125"/>
      <c r="O99" s="132"/>
      <c r="P99" s="133"/>
    </row>
    <row r="100" spans="7:25" ht="18" customHeight="1">
      <c r="G100" s="98"/>
      <c r="H100" s="134" t="s">
        <v>532</v>
      </c>
      <c r="I100" s="103">
        <v>10</v>
      </c>
      <c r="J100" s="103">
        <v>1</v>
      </c>
      <c r="K100" s="103">
        <v>14</v>
      </c>
      <c r="L100" s="103">
        <v>1</v>
      </c>
      <c r="M100" s="103">
        <f>30+(5+10+1+20+10+1+10+10+4+8+8+255+18+48+10)</f>
        <v>448</v>
      </c>
      <c r="N100" s="105">
        <f>3+1*K100+3*L100+M100</f>
        <v>468</v>
      </c>
      <c r="O100" s="106">
        <f>K211</f>
        <v>2821984.7</v>
      </c>
      <c r="P100" s="107">
        <f xml:space="preserve"> $I$1 * CEILING( 1* $O100/ FLOOR(1* ( CEILING(($I$1 -20 - 4- 48- ($J100 - 1) * 24 - 14) * (1 - $I100/100), 1) - 4) / (MAX(1 * 3 + 4 + 2, ( 3 *1+ 1 * $K100+ 3 * $L100+ $M100 )  )  + 2),1 ), 1 )/1024/1024</f>
        <v>1469.7890625</v>
      </c>
      <c r="Q100" s="81"/>
      <c r="R100" s="75"/>
      <c r="U100" s="85"/>
    </row>
    <row r="101" spans="7:25" ht="18" customHeight="1">
      <c r="G101" s="116"/>
      <c r="H101" s="134" t="s">
        <v>533</v>
      </c>
      <c r="I101" s="103">
        <v>10</v>
      </c>
      <c r="J101" s="103">
        <v>1</v>
      </c>
      <c r="K101" s="103">
        <f>K98</f>
        <v>35.358695652173914</v>
      </c>
      <c r="L101" s="103">
        <v>0</v>
      </c>
      <c r="M101" s="103">
        <f>N211/L211</f>
        <v>973.84678877020599</v>
      </c>
      <c r="N101" s="105">
        <f>3+1*K101+3*L101+M101</f>
        <v>1012.2054844223799</v>
      </c>
      <c r="O101" s="106">
        <f>L211</f>
        <v>3235674.7</v>
      </c>
      <c r="P101" s="107">
        <f xml:space="preserve"> $I$1 * CEILING( 1* $O$101/ FLOOR(1* ( CEILING(($I$1 -20 - 4- 48- ($J$101 - 1) * 24 - 14) * (1 - $I$101/100), 1) - 4) / (MAX(1 * 3 + 4 + 2, ( 3 *1+ 1 * $K$101+ 3 * $L$101+ $M$101 )  )  + 2),1 ), 1 )/1024/1024</f>
        <v>3611.25</v>
      </c>
      <c r="Q101" s="81"/>
      <c r="R101" s="125"/>
      <c r="U101" s="85"/>
    </row>
    <row r="102" spans="7:25" ht="18" customHeight="1">
      <c r="G102" s="116"/>
      <c r="H102" s="131"/>
      <c r="I102" s="131"/>
      <c r="J102" s="131"/>
      <c r="K102" s="131"/>
      <c r="L102" s="131"/>
      <c r="M102" s="131"/>
      <c r="N102" s="324" t="s">
        <v>600</v>
      </c>
      <c r="O102" s="106">
        <f>SUM(O4:O97)+SUM(O100:O101)</f>
        <v>7993068.1000000006</v>
      </c>
      <c r="P102" s="107">
        <f>SUM(P4:P97)+SUM(P100:P101)</f>
        <v>7348.1953125</v>
      </c>
      <c r="Q102" s="81"/>
      <c r="R102" s="125"/>
      <c r="U102" s="85"/>
    </row>
    <row r="104" spans="7:25">
      <c r="G104" s="116"/>
      <c r="H104" s="125"/>
      <c r="I104" s="125"/>
      <c r="J104" s="125"/>
      <c r="K104" s="137"/>
      <c r="L104" s="137"/>
      <c r="Q104" s="81"/>
      <c r="R104" s="75"/>
      <c r="U104" s="85"/>
    </row>
    <row r="105" spans="7:25">
      <c r="G105" s="116"/>
      <c r="H105" s="138"/>
      <c r="I105" s="138"/>
      <c r="J105" s="138"/>
      <c r="K105" s="139"/>
      <c r="L105" s="140"/>
      <c r="Q105" s="81"/>
      <c r="R105" s="75"/>
      <c r="U105" s="85"/>
    </row>
    <row r="106" spans="7:25">
      <c r="G106" s="116"/>
      <c r="H106" s="141"/>
      <c r="I106" s="138"/>
      <c r="J106" s="138"/>
      <c r="K106" s="138"/>
      <c r="Q106" s="81"/>
      <c r="R106" s="75"/>
      <c r="U106" s="85"/>
    </row>
    <row r="107" spans="7:25">
      <c r="G107" s="116"/>
      <c r="H107" s="142"/>
      <c r="I107" s="138"/>
      <c r="J107" s="138"/>
      <c r="K107" s="138"/>
      <c r="Q107" s="81"/>
      <c r="R107" s="75"/>
      <c r="U107" s="85"/>
    </row>
    <row r="108" spans="7:25">
      <c r="G108" s="116"/>
      <c r="H108" s="143"/>
      <c r="I108" s="138"/>
      <c r="J108" s="138"/>
      <c r="K108" s="138"/>
      <c r="Q108" s="81"/>
      <c r="R108" s="75"/>
      <c r="U108" s="85"/>
    </row>
    <row r="109" spans="7:25">
      <c r="G109" s="116"/>
      <c r="H109" s="143"/>
      <c r="I109" s="138"/>
      <c r="J109" s="138"/>
      <c r="K109" s="138"/>
      <c r="Q109" s="81"/>
      <c r="R109" s="75"/>
      <c r="U109" s="85"/>
    </row>
    <row r="110" spans="7:25">
      <c r="G110" s="116"/>
      <c r="H110" s="143"/>
      <c r="I110" s="138"/>
      <c r="J110" s="138"/>
      <c r="K110" s="138"/>
      <c r="Q110" s="81"/>
      <c r="R110" s="75"/>
      <c r="U110" s="85"/>
    </row>
    <row r="111" spans="7:25">
      <c r="G111" s="116"/>
      <c r="H111" s="143"/>
      <c r="I111" s="143"/>
      <c r="J111" s="143"/>
      <c r="K111" s="138"/>
      <c r="Q111" s="81"/>
      <c r="R111" s="75"/>
      <c r="U111" s="85"/>
    </row>
    <row r="112" spans="7:25">
      <c r="G112" s="116"/>
      <c r="H112" s="143"/>
      <c r="J112" s="138"/>
      <c r="K112" s="138"/>
      <c r="Q112" s="81"/>
      <c r="R112" s="75"/>
      <c r="U112" s="85"/>
    </row>
    <row r="113" spans="3:32">
      <c r="G113" s="98"/>
      <c r="Q113" s="81"/>
      <c r="R113" s="75"/>
      <c r="U113" s="85"/>
    </row>
    <row r="114" spans="3:32">
      <c r="H114" s="98"/>
      <c r="I114" s="98"/>
      <c r="J114" s="98"/>
      <c r="K114" s="98"/>
      <c r="L114" s="98"/>
      <c r="M114" s="98"/>
      <c r="N114" s="98"/>
      <c r="O114" s="98"/>
      <c r="P114" s="98"/>
      <c r="Q114" s="144"/>
      <c r="R114" s="98"/>
      <c r="S114" s="125"/>
      <c r="U114" s="85"/>
    </row>
    <row r="115" spans="3:32" ht="24" hidden="1" customHeight="1">
      <c r="H115" s="98"/>
      <c r="I115" s="98"/>
      <c r="J115" s="98"/>
      <c r="K115" s="98"/>
      <c r="L115" s="98"/>
      <c r="M115" s="98"/>
      <c r="N115" s="98"/>
      <c r="O115" s="98"/>
      <c r="P115" s="98"/>
      <c r="Q115" s="144"/>
      <c r="R115" s="98"/>
      <c r="S115" s="125"/>
      <c r="U115" s="85"/>
    </row>
    <row r="116" spans="3:32" hidden="1">
      <c r="H116" s="145"/>
      <c r="I116" s="145"/>
      <c r="J116" s="146"/>
      <c r="K116" s="147" t="s">
        <v>113</v>
      </c>
      <c r="L116" s="147" t="s">
        <v>54</v>
      </c>
      <c r="M116" s="146"/>
      <c r="N116" s="146"/>
      <c r="O116" s="148" t="s">
        <v>110</v>
      </c>
      <c r="P116" s="149" t="s">
        <v>111</v>
      </c>
      <c r="Q116" s="150" t="s">
        <v>112</v>
      </c>
      <c r="R116" s="98"/>
      <c r="U116" s="85"/>
    </row>
    <row r="117" spans="3:32" hidden="1">
      <c r="H117" s="146" t="s">
        <v>292</v>
      </c>
      <c r="I117" s="151">
        <f t="shared" ref="I117:I148" si="4">O4</f>
        <v>22.6</v>
      </c>
      <c r="J117" s="152">
        <f>O117+P117+Q117</f>
        <v>1</v>
      </c>
      <c r="K117" s="153">
        <f>I117*J117</f>
        <v>22.6</v>
      </c>
      <c r="L117" s="153">
        <f t="shared" ref="L117:L180" si="5">I117*(1+$D$127*P117)</f>
        <v>22.6</v>
      </c>
      <c r="M117" s="165">
        <v>1021</v>
      </c>
      <c r="N117" s="153">
        <f>L117*M117</f>
        <v>23074.600000000002</v>
      </c>
      <c r="O117" s="148">
        <v>1</v>
      </c>
      <c r="P117" s="149"/>
      <c r="Q117" s="150"/>
      <c r="R117" s="98"/>
      <c r="T117" s="125"/>
      <c r="U117" s="85"/>
    </row>
    <row r="118" spans="3:32" hidden="1">
      <c r="H118" s="146" t="s">
        <v>295</v>
      </c>
      <c r="I118" s="151">
        <f t="shared" si="4"/>
        <v>400</v>
      </c>
      <c r="J118" s="152">
        <f>O118+P118+Q118</f>
        <v>1</v>
      </c>
      <c r="K118" s="153">
        <f t="shared" ref="K118:K181" si="6">I118*J118</f>
        <v>400</v>
      </c>
      <c r="L118" s="153">
        <f t="shared" si="5"/>
        <v>400</v>
      </c>
      <c r="M118" s="165">
        <v>1637</v>
      </c>
      <c r="N118" s="153">
        <f>L118*M118</f>
        <v>654800</v>
      </c>
      <c r="O118" s="148">
        <v>1</v>
      </c>
      <c r="P118" s="149"/>
      <c r="Q118" s="150"/>
      <c r="R118" s="262" t="s">
        <v>296</v>
      </c>
      <c r="S118" s="98"/>
      <c r="T118" s="125"/>
    </row>
    <row r="119" spans="3:32" hidden="1">
      <c r="G119" s="98"/>
      <c r="H119" s="146" t="s">
        <v>299</v>
      </c>
      <c r="I119" s="151">
        <f t="shared" si="4"/>
        <v>5000</v>
      </c>
      <c r="J119" s="152">
        <f t="shared" ref="J119:J182" si="7">O119+P119+Q119</f>
        <v>1</v>
      </c>
      <c r="K119" s="153">
        <f>I119*J119</f>
        <v>5000</v>
      </c>
      <c r="L119" s="153">
        <f t="shared" si="5"/>
        <v>5000</v>
      </c>
      <c r="M119" s="165">
        <v>69</v>
      </c>
      <c r="N119" s="153">
        <f t="shared" ref="N119:N182" si="8">L119*M119</f>
        <v>345000</v>
      </c>
      <c r="O119" s="154">
        <v>1</v>
      </c>
      <c r="P119" s="155"/>
      <c r="Q119" s="156"/>
      <c r="R119" s="262" t="s">
        <v>300</v>
      </c>
      <c r="S119" s="98"/>
    </row>
    <row r="120" spans="3:32" hidden="1">
      <c r="G120" s="98"/>
      <c r="H120" s="146" t="s">
        <v>303</v>
      </c>
      <c r="I120" s="151">
        <f t="shared" si="4"/>
        <v>30</v>
      </c>
      <c r="J120" s="152">
        <f t="shared" si="7"/>
        <v>1</v>
      </c>
      <c r="K120" s="153">
        <f>I120*J120</f>
        <v>30</v>
      </c>
      <c r="L120" s="153">
        <f t="shared" si="5"/>
        <v>30</v>
      </c>
      <c r="M120" s="165">
        <v>36</v>
      </c>
      <c r="N120" s="153">
        <f t="shared" si="8"/>
        <v>1080</v>
      </c>
      <c r="O120" s="157">
        <v>1</v>
      </c>
      <c r="P120" s="155"/>
      <c r="Q120" s="156"/>
      <c r="S120" s="98"/>
      <c r="T120" s="98"/>
    </row>
    <row r="121" spans="3:32" hidden="1">
      <c r="G121" s="98"/>
      <c r="H121" s="146" t="s">
        <v>305</v>
      </c>
      <c r="I121" s="151">
        <f t="shared" si="4"/>
        <v>1</v>
      </c>
      <c r="J121" s="152">
        <f t="shared" si="7"/>
        <v>1</v>
      </c>
      <c r="K121" s="153">
        <f>I121*J121</f>
        <v>1</v>
      </c>
      <c r="L121" s="153">
        <f t="shared" si="5"/>
        <v>1</v>
      </c>
      <c r="M121" s="165">
        <v>1105</v>
      </c>
      <c r="N121" s="153">
        <f t="shared" si="8"/>
        <v>1105</v>
      </c>
      <c r="O121" s="157">
        <v>1</v>
      </c>
      <c r="P121" s="155"/>
      <c r="Q121" s="156"/>
      <c r="S121" s="98"/>
      <c r="T121" s="98"/>
      <c r="U121" s="125"/>
    </row>
    <row r="122" spans="3:32" hidden="1">
      <c r="G122" s="98"/>
      <c r="H122" s="146" t="s">
        <v>306</v>
      </c>
      <c r="I122" s="151">
        <f t="shared" si="4"/>
        <v>10</v>
      </c>
      <c r="J122" s="152">
        <f t="shared" si="7"/>
        <v>1.1000000000000001</v>
      </c>
      <c r="K122" s="153">
        <f>I122*J122</f>
        <v>11</v>
      </c>
      <c r="L122" s="153">
        <f t="shared" si="5"/>
        <v>12</v>
      </c>
      <c r="M122" s="165">
        <v>123</v>
      </c>
      <c r="N122" s="153">
        <f t="shared" si="8"/>
        <v>1476</v>
      </c>
      <c r="O122" s="157">
        <v>1</v>
      </c>
      <c r="P122" s="155">
        <v>0.1</v>
      </c>
      <c r="Q122" s="156"/>
      <c r="R122" s="262" t="s">
        <v>307</v>
      </c>
      <c r="S122" s="98"/>
      <c r="T122" s="98"/>
      <c r="U122" s="98"/>
      <c r="V122" s="98"/>
      <c r="W122" s="98"/>
      <c r="X122" s="98"/>
      <c r="Y122" s="98"/>
      <c r="Z122" s="98"/>
    </row>
    <row r="123" spans="3:32" hidden="1">
      <c r="G123" s="98"/>
      <c r="H123" s="146" t="s">
        <v>310</v>
      </c>
      <c r="I123" s="151">
        <f t="shared" si="4"/>
        <v>30</v>
      </c>
      <c r="J123" s="158">
        <f>O123+P123+Q123</f>
        <v>1.1000000000000001</v>
      </c>
      <c r="K123" s="153">
        <f t="shared" si="6"/>
        <v>33</v>
      </c>
      <c r="L123" s="153">
        <f t="shared" si="5"/>
        <v>36</v>
      </c>
      <c r="M123" s="165">
        <v>134</v>
      </c>
      <c r="N123" s="153">
        <f>L123*M123</f>
        <v>4824</v>
      </c>
      <c r="O123" s="157">
        <v>1</v>
      </c>
      <c r="P123" s="155">
        <v>0.1</v>
      </c>
      <c r="Q123" s="156"/>
      <c r="R123" s="262" t="s">
        <v>311</v>
      </c>
      <c r="S123" s="98"/>
      <c r="T123" s="98"/>
      <c r="U123" s="125"/>
    </row>
    <row r="124" spans="3:32" hidden="1">
      <c r="G124" s="98"/>
      <c r="H124" s="146" t="s">
        <v>313</v>
      </c>
      <c r="I124" s="151">
        <f t="shared" si="4"/>
        <v>90</v>
      </c>
      <c r="J124" s="152">
        <f t="shared" si="7"/>
        <v>1.1000000000000001</v>
      </c>
      <c r="K124" s="153">
        <f t="shared" si="6"/>
        <v>99.000000000000014</v>
      </c>
      <c r="L124" s="153">
        <f t="shared" si="5"/>
        <v>108</v>
      </c>
      <c r="M124" s="165">
        <v>82</v>
      </c>
      <c r="N124" s="153">
        <f t="shared" si="8"/>
        <v>8856</v>
      </c>
      <c r="O124" s="157">
        <v>1</v>
      </c>
      <c r="P124" s="155">
        <v>0.1</v>
      </c>
      <c r="Q124" s="156"/>
      <c r="R124" s="262" t="s">
        <v>314</v>
      </c>
      <c r="S124" s="98"/>
      <c r="T124" s="98"/>
      <c r="U124" s="98"/>
      <c r="V124" s="98"/>
      <c r="W124" s="98"/>
      <c r="X124" s="98"/>
      <c r="Y124" s="98"/>
      <c r="Z124" s="98"/>
      <c r="AA124" s="98"/>
      <c r="AB124" s="98"/>
      <c r="AC124" s="98"/>
      <c r="AD124" s="98"/>
      <c r="AE124" s="98"/>
      <c r="AF124" s="98"/>
    </row>
    <row r="125" spans="3:32" s="98" customFormat="1" hidden="1">
      <c r="H125" s="146" t="s">
        <v>316</v>
      </c>
      <c r="I125" s="151">
        <f t="shared" si="4"/>
        <v>100</v>
      </c>
      <c r="J125" s="152">
        <f t="shared" si="7"/>
        <v>1.2</v>
      </c>
      <c r="K125" s="153">
        <f t="shared" si="6"/>
        <v>120</v>
      </c>
      <c r="L125" s="153">
        <f t="shared" si="5"/>
        <v>140</v>
      </c>
      <c r="M125" s="165">
        <v>3802</v>
      </c>
      <c r="N125" s="153">
        <f t="shared" si="8"/>
        <v>532280</v>
      </c>
      <c r="O125" s="148">
        <v>1</v>
      </c>
      <c r="P125" s="155">
        <v>0.2</v>
      </c>
      <c r="Q125" s="156"/>
      <c r="R125" s="262" t="s">
        <v>317</v>
      </c>
    </row>
    <row r="126" spans="3:32" s="98" customFormat="1" hidden="1">
      <c r="C126" s="159" t="s">
        <v>518</v>
      </c>
      <c r="D126" s="160">
        <v>1</v>
      </c>
      <c r="H126" s="146" t="s">
        <v>519</v>
      </c>
      <c r="I126" s="151">
        <f t="shared" si="4"/>
        <v>10</v>
      </c>
      <c r="J126" s="152">
        <f t="shared" si="7"/>
        <v>2</v>
      </c>
      <c r="K126" s="153">
        <f t="shared" si="6"/>
        <v>20</v>
      </c>
      <c r="L126" s="153">
        <f t="shared" si="5"/>
        <v>30</v>
      </c>
      <c r="M126" s="165">
        <v>30</v>
      </c>
      <c r="N126" s="153">
        <f t="shared" si="8"/>
        <v>900</v>
      </c>
      <c r="O126" s="148">
        <v>1</v>
      </c>
      <c r="P126" s="149">
        <v>1</v>
      </c>
      <c r="Q126" s="156"/>
      <c r="R126" s="262"/>
    </row>
    <row r="127" spans="3:32" s="98" customFormat="1" hidden="1">
      <c r="C127" s="161" t="s">
        <v>520</v>
      </c>
      <c r="D127" s="160">
        <v>2</v>
      </c>
      <c r="H127" s="146" t="s">
        <v>321</v>
      </c>
      <c r="I127" s="151">
        <f t="shared" si="4"/>
        <v>11300</v>
      </c>
      <c r="J127" s="152">
        <f t="shared" si="7"/>
        <v>1.3</v>
      </c>
      <c r="K127" s="153">
        <f t="shared" si="6"/>
        <v>14690</v>
      </c>
      <c r="L127" s="153">
        <f t="shared" si="5"/>
        <v>15819.999999999998</v>
      </c>
      <c r="M127" s="165">
        <v>832</v>
      </c>
      <c r="N127" s="153">
        <f>L127*M127</f>
        <v>13162239.999999998</v>
      </c>
      <c r="O127" s="148">
        <v>1</v>
      </c>
      <c r="P127" s="149">
        <v>0.2</v>
      </c>
      <c r="Q127" s="156">
        <v>0.1</v>
      </c>
      <c r="R127" s="262" t="s">
        <v>322</v>
      </c>
    </row>
    <row r="128" spans="3:32" s="98" customFormat="1" hidden="1">
      <c r="C128" s="161" t="s">
        <v>521</v>
      </c>
      <c r="D128" s="160">
        <v>1</v>
      </c>
      <c r="H128" s="146" t="s">
        <v>324</v>
      </c>
      <c r="I128" s="151">
        <f t="shared" si="4"/>
        <v>2260</v>
      </c>
      <c r="J128" s="152">
        <f t="shared" si="7"/>
        <v>1.3</v>
      </c>
      <c r="K128" s="153">
        <f t="shared" si="6"/>
        <v>2938</v>
      </c>
      <c r="L128" s="153">
        <f t="shared" si="5"/>
        <v>3164</v>
      </c>
      <c r="M128" s="165">
        <v>606</v>
      </c>
      <c r="N128" s="153">
        <f t="shared" si="8"/>
        <v>1917384</v>
      </c>
      <c r="O128" s="148">
        <v>1</v>
      </c>
      <c r="P128" s="149">
        <v>0.2</v>
      </c>
      <c r="Q128" s="156">
        <v>0.1</v>
      </c>
      <c r="R128" s="262" t="s">
        <v>325</v>
      </c>
    </row>
    <row r="129" spans="8:19" s="98" customFormat="1" hidden="1">
      <c r="H129" s="146" t="s">
        <v>330</v>
      </c>
      <c r="I129" s="151">
        <f t="shared" si="4"/>
        <v>22.6</v>
      </c>
      <c r="J129" s="152">
        <f t="shared" si="7"/>
        <v>1</v>
      </c>
      <c r="K129" s="153">
        <f t="shared" si="6"/>
        <v>22.6</v>
      </c>
      <c r="L129" s="153">
        <f t="shared" si="5"/>
        <v>22.6</v>
      </c>
      <c r="M129" s="165">
        <v>1185</v>
      </c>
      <c r="N129" s="153">
        <f t="shared" si="8"/>
        <v>26781</v>
      </c>
      <c r="O129" s="148">
        <v>1</v>
      </c>
      <c r="P129" s="155"/>
      <c r="Q129" s="156"/>
      <c r="R129" s="262"/>
    </row>
    <row r="130" spans="8:19" s="98" customFormat="1" hidden="1">
      <c r="H130" s="146" t="s">
        <v>332</v>
      </c>
      <c r="I130" s="151">
        <f t="shared" si="4"/>
        <v>312.5</v>
      </c>
      <c r="J130" s="152">
        <f t="shared" si="7"/>
        <v>1</v>
      </c>
      <c r="K130" s="153">
        <f t="shared" si="6"/>
        <v>312.5</v>
      </c>
      <c r="L130" s="153">
        <f t="shared" si="5"/>
        <v>312.5</v>
      </c>
      <c r="M130" s="165">
        <v>1129</v>
      </c>
      <c r="N130" s="153">
        <f t="shared" si="8"/>
        <v>352812.5</v>
      </c>
      <c r="O130" s="148">
        <v>1</v>
      </c>
      <c r="P130" s="149"/>
      <c r="Q130" s="150"/>
      <c r="R130" s="262"/>
    </row>
    <row r="131" spans="8:19" s="98" customFormat="1" hidden="1">
      <c r="H131" s="146" t="s">
        <v>334</v>
      </c>
      <c r="I131" s="151">
        <f t="shared" si="4"/>
        <v>10000</v>
      </c>
      <c r="J131" s="152">
        <f t="shared" si="7"/>
        <v>2</v>
      </c>
      <c r="K131" s="153">
        <f t="shared" si="6"/>
        <v>20000</v>
      </c>
      <c r="L131" s="153">
        <f t="shared" si="5"/>
        <v>10000</v>
      </c>
      <c r="M131" s="165">
        <v>3001</v>
      </c>
      <c r="N131" s="153">
        <f t="shared" si="8"/>
        <v>30010000</v>
      </c>
      <c r="O131" s="148">
        <v>1</v>
      </c>
      <c r="P131" s="155"/>
      <c r="Q131" s="156">
        <v>1</v>
      </c>
      <c r="R131" s="262" t="s">
        <v>335</v>
      </c>
    </row>
    <row r="132" spans="8:19" s="98" customFormat="1" hidden="1">
      <c r="H132" s="146" t="s">
        <v>336</v>
      </c>
      <c r="I132" s="151">
        <f t="shared" si="4"/>
        <v>100</v>
      </c>
      <c r="J132" s="152">
        <f t="shared" si="7"/>
        <v>1</v>
      </c>
      <c r="K132" s="153">
        <f t="shared" si="6"/>
        <v>100</v>
      </c>
      <c r="L132" s="153">
        <f t="shared" si="5"/>
        <v>100</v>
      </c>
      <c r="M132" s="165">
        <v>391</v>
      </c>
      <c r="N132" s="153">
        <f t="shared" si="8"/>
        <v>39100</v>
      </c>
      <c r="O132" s="148">
        <v>1</v>
      </c>
      <c r="P132" s="155"/>
      <c r="Q132" s="156"/>
      <c r="R132" s="262" t="s">
        <v>337</v>
      </c>
    </row>
    <row r="133" spans="8:19" s="98" customFormat="1" hidden="1">
      <c r="H133" s="146" t="s">
        <v>342</v>
      </c>
      <c r="I133" s="151">
        <f t="shared" si="4"/>
        <v>6780</v>
      </c>
      <c r="J133" s="152">
        <f t="shared" si="7"/>
        <v>1.35</v>
      </c>
      <c r="K133" s="153">
        <f t="shared" si="6"/>
        <v>9153</v>
      </c>
      <c r="L133" s="153">
        <f t="shared" si="5"/>
        <v>10170</v>
      </c>
      <c r="M133" s="165">
        <v>463</v>
      </c>
      <c r="N133" s="153">
        <f t="shared" si="8"/>
        <v>4708710</v>
      </c>
      <c r="O133" s="148">
        <v>1</v>
      </c>
      <c r="P133" s="155">
        <v>0.25</v>
      </c>
      <c r="Q133" s="156">
        <v>0.1</v>
      </c>
      <c r="R133" s="262" t="s">
        <v>343</v>
      </c>
    </row>
    <row r="134" spans="8:19" s="98" customFormat="1" hidden="1">
      <c r="H134" s="146" t="s">
        <v>346</v>
      </c>
      <c r="I134" s="151">
        <f t="shared" si="4"/>
        <v>30000</v>
      </c>
      <c r="J134" s="152">
        <f t="shared" si="7"/>
        <v>1</v>
      </c>
      <c r="K134" s="153">
        <f t="shared" si="6"/>
        <v>30000</v>
      </c>
      <c r="L134" s="153">
        <f t="shared" si="5"/>
        <v>30000</v>
      </c>
      <c r="M134" s="165">
        <v>117</v>
      </c>
      <c r="N134" s="153">
        <f t="shared" si="8"/>
        <v>3510000</v>
      </c>
      <c r="O134" s="148">
        <v>1</v>
      </c>
      <c r="P134" s="149"/>
      <c r="Q134" s="150"/>
      <c r="R134" s="262"/>
    </row>
    <row r="135" spans="8:19" s="98" customFormat="1" hidden="1">
      <c r="H135" s="146" t="s">
        <v>348</v>
      </c>
      <c r="I135" s="151">
        <f t="shared" si="4"/>
        <v>10</v>
      </c>
      <c r="J135" s="152">
        <f>O135+P135+Q135</f>
        <v>1</v>
      </c>
      <c r="K135" s="153">
        <f t="shared" si="6"/>
        <v>10</v>
      </c>
      <c r="L135" s="153">
        <f t="shared" si="5"/>
        <v>10</v>
      </c>
      <c r="M135" s="165">
        <v>89</v>
      </c>
      <c r="N135" s="153">
        <f t="shared" si="8"/>
        <v>890</v>
      </c>
      <c r="O135" s="148">
        <v>1</v>
      </c>
      <c r="P135" s="149"/>
      <c r="Q135" s="150"/>
      <c r="R135" s="262"/>
    </row>
    <row r="136" spans="8:19" s="98" customFormat="1" hidden="1">
      <c r="H136" s="146" t="s">
        <v>349</v>
      </c>
      <c r="I136" s="151">
        <f t="shared" si="4"/>
        <v>1000</v>
      </c>
      <c r="J136" s="152">
        <f t="shared" si="7"/>
        <v>1.2</v>
      </c>
      <c r="K136" s="153">
        <f t="shared" si="6"/>
        <v>1200</v>
      </c>
      <c r="L136" s="153">
        <f t="shared" si="5"/>
        <v>1400</v>
      </c>
      <c r="M136" s="165">
        <v>58</v>
      </c>
      <c r="N136" s="153">
        <f>L136*M136</f>
        <v>81200</v>
      </c>
      <c r="O136" s="148">
        <v>1</v>
      </c>
      <c r="P136" s="149">
        <v>0.2</v>
      </c>
      <c r="Q136" s="150"/>
      <c r="R136" s="262"/>
    </row>
    <row r="137" spans="8:19" s="98" customFormat="1" hidden="1">
      <c r="H137" s="146" t="s">
        <v>352</v>
      </c>
      <c r="I137" s="151">
        <f t="shared" si="4"/>
        <v>100</v>
      </c>
      <c r="J137" s="152">
        <f t="shared" si="7"/>
        <v>1.2</v>
      </c>
      <c r="K137" s="153">
        <f t="shared" si="6"/>
        <v>120</v>
      </c>
      <c r="L137" s="153">
        <f t="shared" si="5"/>
        <v>140</v>
      </c>
      <c r="M137" s="165">
        <v>121</v>
      </c>
      <c r="N137" s="153">
        <f t="shared" si="8"/>
        <v>16940</v>
      </c>
      <c r="O137" s="148">
        <v>1</v>
      </c>
      <c r="P137" s="149">
        <v>0.2</v>
      </c>
      <c r="Q137" s="156"/>
      <c r="R137" s="262"/>
    </row>
    <row r="138" spans="8:19" s="98" customFormat="1" hidden="1">
      <c r="H138" s="146" t="s">
        <v>353</v>
      </c>
      <c r="I138" s="151">
        <f t="shared" si="4"/>
        <v>26000</v>
      </c>
      <c r="J138" s="152">
        <f t="shared" si="7"/>
        <v>1.2</v>
      </c>
      <c r="K138" s="153">
        <f t="shared" si="6"/>
        <v>31200</v>
      </c>
      <c r="L138" s="153">
        <f t="shared" si="5"/>
        <v>36400</v>
      </c>
      <c r="M138" s="165">
        <v>284</v>
      </c>
      <c r="N138" s="153">
        <f t="shared" si="8"/>
        <v>10337600</v>
      </c>
      <c r="O138" s="148">
        <v>1</v>
      </c>
      <c r="P138" s="149">
        <v>0.2</v>
      </c>
      <c r="Q138" s="150"/>
      <c r="R138" s="262" t="s">
        <v>354</v>
      </c>
    </row>
    <row r="139" spans="8:19" s="98" customFormat="1" hidden="1">
      <c r="H139" s="146" t="s">
        <v>357</v>
      </c>
      <c r="I139" s="151">
        <f t="shared" si="4"/>
        <v>9040</v>
      </c>
      <c r="J139" s="152">
        <f t="shared" si="7"/>
        <v>1.3</v>
      </c>
      <c r="K139" s="153">
        <f t="shared" si="6"/>
        <v>11752</v>
      </c>
      <c r="L139" s="153">
        <f t="shared" si="5"/>
        <v>12656</v>
      </c>
      <c r="M139" s="165">
        <v>123</v>
      </c>
      <c r="N139" s="153">
        <f t="shared" si="8"/>
        <v>1556688</v>
      </c>
      <c r="O139" s="148">
        <v>1</v>
      </c>
      <c r="P139" s="149">
        <v>0.2</v>
      </c>
      <c r="Q139" s="156">
        <v>0.1</v>
      </c>
      <c r="R139" s="262" t="s">
        <v>522</v>
      </c>
    </row>
    <row r="140" spans="8:19" s="98" customFormat="1" hidden="1">
      <c r="H140" s="146" t="s">
        <v>358</v>
      </c>
      <c r="I140" s="151">
        <f t="shared" si="4"/>
        <v>2260</v>
      </c>
      <c r="J140" s="152">
        <f t="shared" si="7"/>
        <v>1.3</v>
      </c>
      <c r="K140" s="153">
        <f t="shared" si="6"/>
        <v>2938</v>
      </c>
      <c r="L140" s="153">
        <f t="shared" si="5"/>
        <v>3164</v>
      </c>
      <c r="M140" s="165">
        <v>912</v>
      </c>
      <c r="N140" s="153">
        <f t="shared" si="8"/>
        <v>2885568</v>
      </c>
      <c r="O140" s="148">
        <v>1</v>
      </c>
      <c r="P140" s="149">
        <v>0.2</v>
      </c>
      <c r="Q140" s="156">
        <v>0.1</v>
      </c>
      <c r="R140" s="262" t="s">
        <v>359</v>
      </c>
    </row>
    <row r="141" spans="8:19" s="98" customFormat="1" hidden="1">
      <c r="H141" s="146" t="s">
        <v>363</v>
      </c>
      <c r="I141" s="151">
        <f t="shared" si="4"/>
        <v>1</v>
      </c>
      <c r="J141" s="152">
        <f t="shared" si="7"/>
        <v>1</v>
      </c>
      <c r="K141" s="153">
        <f t="shared" si="6"/>
        <v>1</v>
      </c>
      <c r="L141" s="153">
        <f t="shared" si="5"/>
        <v>1</v>
      </c>
      <c r="M141" s="165">
        <v>1595</v>
      </c>
      <c r="N141" s="153">
        <f t="shared" si="8"/>
        <v>1595</v>
      </c>
      <c r="O141" s="148">
        <v>1</v>
      </c>
      <c r="P141" s="149"/>
      <c r="Q141" s="150"/>
      <c r="R141" s="262" t="s">
        <v>364</v>
      </c>
    </row>
    <row r="142" spans="8:19" s="98" customFormat="1" hidden="1">
      <c r="H142" s="146" t="s">
        <v>366</v>
      </c>
      <c r="I142" s="151">
        <f t="shared" si="4"/>
        <v>20</v>
      </c>
      <c r="J142" s="152">
        <f t="shared" si="7"/>
        <v>1</v>
      </c>
      <c r="K142" s="153">
        <f t="shared" si="6"/>
        <v>20</v>
      </c>
      <c r="L142" s="153">
        <f t="shared" si="5"/>
        <v>20</v>
      </c>
      <c r="M142" s="165">
        <v>2087</v>
      </c>
      <c r="N142" s="153">
        <f t="shared" si="8"/>
        <v>41740</v>
      </c>
      <c r="O142" s="148">
        <v>1</v>
      </c>
      <c r="P142" s="155"/>
      <c r="Q142" s="156"/>
      <c r="R142" s="262" t="s">
        <v>367</v>
      </c>
    </row>
    <row r="143" spans="8:19" s="98" customFormat="1" hidden="1">
      <c r="H143" s="146" t="s">
        <v>369</v>
      </c>
      <c r="I143" s="151">
        <f t="shared" si="4"/>
        <v>25</v>
      </c>
      <c r="J143" s="152">
        <f t="shared" si="7"/>
        <v>1</v>
      </c>
      <c r="K143" s="153">
        <f t="shared" si="6"/>
        <v>25</v>
      </c>
      <c r="L143" s="153">
        <f t="shared" si="5"/>
        <v>25</v>
      </c>
      <c r="M143" s="165">
        <v>105</v>
      </c>
      <c r="N143" s="153">
        <f t="shared" si="8"/>
        <v>2625</v>
      </c>
      <c r="O143" s="148">
        <v>1</v>
      </c>
      <c r="P143" s="149"/>
      <c r="Q143" s="150"/>
      <c r="R143" s="262" t="s">
        <v>370</v>
      </c>
    </row>
    <row r="144" spans="8:19" s="98" customFormat="1" hidden="1">
      <c r="H144" s="146" t="s">
        <v>372</v>
      </c>
      <c r="I144" s="151">
        <f t="shared" si="4"/>
        <v>22600</v>
      </c>
      <c r="J144" s="152">
        <f t="shared" si="7"/>
        <v>1.3</v>
      </c>
      <c r="K144" s="153">
        <f t="shared" si="6"/>
        <v>29380</v>
      </c>
      <c r="L144" s="153">
        <f t="shared" si="5"/>
        <v>31639.999999999996</v>
      </c>
      <c r="M144" s="165">
        <v>1111</v>
      </c>
      <c r="N144" s="153">
        <f t="shared" si="8"/>
        <v>35152039.999999993</v>
      </c>
      <c r="O144" s="148">
        <v>1</v>
      </c>
      <c r="P144" s="149">
        <v>0.2</v>
      </c>
      <c r="Q144" s="156">
        <v>0.1</v>
      </c>
      <c r="R144" s="262" t="s">
        <v>373</v>
      </c>
      <c r="S144" s="75"/>
    </row>
    <row r="145" spans="7:20" s="98" customFormat="1" hidden="1">
      <c r="G145" s="164"/>
      <c r="H145" s="146" t="s">
        <v>375</v>
      </c>
      <c r="I145" s="151">
        <f t="shared" si="4"/>
        <v>40000</v>
      </c>
      <c r="J145" s="152">
        <f t="shared" si="7"/>
        <v>1</v>
      </c>
      <c r="K145" s="153">
        <f t="shared" si="6"/>
        <v>40000</v>
      </c>
      <c r="L145" s="153">
        <f t="shared" si="5"/>
        <v>40000</v>
      </c>
      <c r="M145" s="165">
        <v>70</v>
      </c>
      <c r="N145" s="153">
        <f t="shared" si="8"/>
        <v>2800000</v>
      </c>
      <c r="O145" s="148">
        <v>1</v>
      </c>
      <c r="P145" s="149"/>
      <c r="Q145" s="150"/>
      <c r="R145" s="262" t="s">
        <v>376</v>
      </c>
      <c r="S145" s="75"/>
    </row>
    <row r="146" spans="7:20" s="98" customFormat="1" hidden="1">
      <c r="G146" s="164"/>
      <c r="H146" s="146" t="s">
        <v>379</v>
      </c>
      <c r="I146" s="151">
        <f t="shared" si="4"/>
        <v>22600</v>
      </c>
      <c r="J146" s="152">
        <f t="shared" si="7"/>
        <v>1.3</v>
      </c>
      <c r="K146" s="153">
        <f t="shared" si="6"/>
        <v>29380</v>
      </c>
      <c r="L146" s="153">
        <f t="shared" si="5"/>
        <v>31639.999999999996</v>
      </c>
      <c r="M146" s="165">
        <v>359</v>
      </c>
      <c r="N146" s="153">
        <f t="shared" si="8"/>
        <v>11358759.999999998</v>
      </c>
      <c r="O146" s="148">
        <v>1</v>
      </c>
      <c r="P146" s="149">
        <v>0.2</v>
      </c>
      <c r="Q146" s="156">
        <v>0.1</v>
      </c>
      <c r="R146" s="262" t="s">
        <v>380</v>
      </c>
    </row>
    <row r="147" spans="7:20" s="98" customFormat="1" hidden="1">
      <c r="G147" s="164"/>
      <c r="H147" s="146" t="s">
        <v>381</v>
      </c>
      <c r="I147" s="151">
        <f t="shared" si="4"/>
        <v>4000</v>
      </c>
      <c r="J147" s="152">
        <f t="shared" si="7"/>
        <v>1</v>
      </c>
      <c r="K147" s="153">
        <f t="shared" si="6"/>
        <v>4000</v>
      </c>
      <c r="L147" s="153">
        <f t="shared" si="5"/>
        <v>4000</v>
      </c>
      <c r="M147" s="165">
        <v>803</v>
      </c>
      <c r="N147" s="153">
        <f t="shared" si="8"/>
        <v>3212000</v>
      </c>
      <c r="O147" s="148">
        <v>1</v>
      </c>
      <c r="P147" s="149"/>
      <c r="Q147" s="150"/>
      <c r="R147" s="262" t="s">
        <v>382</v>
      </c>
      <c r="S147" s="75"/>
    </row>
    <row r="148" spans="7:20" s="98" customFormat="1" hidden="1">
      <c r="G148" s="164"/>
      <c r="H148" s="146" t="s">
        <v>387</v>
      </c>
      <c r="I148" s="151">
        <f t="shared" si="4"/>
        <v>2260</v>
      </c>
      <c r="J148" s="152">
        <f t="shared" si="7"/>
        <v>1.4000000000000001</v>
      </c>
      <c r="K148" s="153">
        <f t="shared" si="6"/>
        <v>3164.0000000000005</v>
      </c>
      <c r="L148" s="153">
        <f t="shared" si="5"/>
        <v>3616</v>
      </c>
      <c r="M148" s="165">
        <v>3844</v>
      </c>
      <c r="N148" s="153">
        <f t="shared" si="8"/>
        <v>13899904</v>
      </c>
      <c r="O148" s="148">
        <v>1</v>
      </c>
      <c r="P148" s="155">
        <v>0.3</v>
      </c>
      <c r="Q148" s="156">
        <v>0.1</v>
      </c>
      <c r="R148" s="262" t="s">
        <v>388</v>
      </c>
      <c r="S148" s="75"/>
      <c r="T148" s="75"/>
    </row>
    <row r="149" spans="7:20" s="98" customFormat="1" hidden="1">
      <c r="G149" s="164"/>
      <c r="H149" s="146" t="s">
        <v>390</v>
      </c>
      <c r="I149" s="151">
        <f t="shared" ref="I149:I180" si="9">O36</f>
        <v>380000</v>
      </c>
      <c r="J149" s="152">
        <f t="shared" si="7"/>
        <v>2.2000000000000002</v>
      </c>
      <c r="K149" s="153">
        <f t="shared" si="6"/>
        <v>836000.00000000012</v>
      </c>
      <c r="L149" s="153">
        <f t="shared" si="5"/>
        <v>1292000</v>
      </c>
      <c r="M149" s="165">
        <v>1284</v>
      </c>
      <c r="N149" s="153">
        <f t="shared" si="8"/>
        <v>1658928000</v>
      </c>
      <c r="O149" s="148">
        <v>1</v>
      </c>
      <c r="P149" s="155">
        <v>1.2</v>
      </c>
      <c r="Q149" s="156"/>
      <c r="R149" s="262" t="s">
        <v>391</v>
      </c>
      <c r="S149" s="75"/>
      <c r="T149" s="75"/>
    </row>
    <row r="150" spans="7:20" s="98" customFormat="1" hidden="1">
      <c r="G150" s="164"/>
      <c r="H150" s="146" t="s">
        <v>394</v>
      </c>
      <c r="I150" s="151">
        <f t="shared" si="9"/>
        <v>5000</v>
      </c>
      <c r="J150" s="152">
        <f t="shared" si="7"/>
        <v>1</v>
      </c>
      <c r="K150" s="153">
        <f t="shared" si="6"/>
        <v>5000</v>
      </c>
      <c r="L150" s="153">
        <f t="shared" si="5"/>
        <v>5000</v>
      </c>
      <c r="M150" s="165">
        <v>400</v>
      </c>
      <c r="N150" s="153">
        <f t="shared" si="8"/>
        <v>2000000</v>
      </c>
      <c r="O150" s="148">
        <v>1</v>
      </c>
      <c r="P150" s="155"/>
      <c r="Q150" s="156"/>
      <c r="R150" s="262" t="s">
        <v>395</v>
      </c>
      <c r="S150" s="75"/>
      <c r="T150" s="75"/>
    </row>
    <row r="151" spans="7:20" s="98" customFormat="1" hidden="1">
      <c r="G151" s="164"/>
      <c r="H151" s="146" t="s">
        <v>396</v>
      </c>
      <c r="I151" s="151">
        <f t="shared" si="9"/>
        <v>16000</v>
      </c>
      <c r="J151" s="152">
        <f t="shared" si="7"/>
        <v>1</v>
      </c>
      <c r="K151" s="153">
        <f t="shared" si="6"/>
        <v>16000</v>
      </c>
      <c r="L151" s="153">
        <f t="shared" si="5"/>
        <v>16000</v>
      </c>
      <c r="M151" s="165">
        <v>651</v>
      </c>
      <c r="N151" s="153">
        <f t="shared" si="8"/>
        <v>10416000</v>
      </c>
      <c r="O151" s="148">
        <v>1</v>
      </c>
      <c r="P151" s="155"/>
      <c r="Q151" s="156"/>
      <c r="R151" s="262" t="s">
        <v>397</v>
      </c>
      <c r="S151" s="75"/>
      <c r="T151" s="75"/>
    </row>
    <row r="152" spans="7:20" s="98" customFormat="1" hidden="1">
      <c r="G152" s="164"/>
      <c r="H152" s="146" t="s">
        <v>401</v>
      </c>
      <c r="I152" s="151">
        <f t="shared" si="9"/>
        <v>11800</v>
      </c>
      <c r="J152" s="152">
        <f t="shared" si="7"/>
        <v>1.3</v>
      </c>
      <c r="K152" s="153">
        <f t="shared" si="6"/>
        <v>15340</v>
      </c>
      <c r="L152" s="153">
        <f t="shared" si="5"/>
        <v>16520</v>
      </c>
      <c r="M152" s="165">
        <v>12078</v>
      </c>
      <c r="N152" s="153">
        <f t="shared" si="8"/>
        <v>199528560</v>
      </c>
      <c r="O152" s="148">
        <v>1</v>
      </c>
      <c r="P152" s="155">
        <v>0.2</v>
      </c>
      <c r="Q152" s="156">
        <v>0.1</v>
      </c>
      <c r="R152" s="262" t="s">
        <v>402</v>
      </c>
      <c r="S152" s="75"/>
      <c r="T152" s="75"/>
    </row>
    <row r="153" spans="7:20" s="98" customFormat="1" hidden="1">
      <c r="G153" s="164"/>
      <c r="H153" s="146" t="s">
        <v>404</v>
      </c>
      <c r="I153" s="151">
        <f t="shared" si="9"/>
        <v>7000</v>
      </c>
      <c r="J153" s="152">
        <f t="shared" si="7"/>
        <v>1</v>
      </c>
      <c r="K153" s="153">
        <f t="shared" si="6"/>
        <v>7000</v>
      </c>
      <c r="L153" s="153">
        <f t="shared" si="5"/>
        <v>7000</v>
      </c>
      <c r="M153" s="165">
        <v>846</v>
      </c>
      <c r="N153" s="153">
        <f t="shared" si="8"/>
        <v>5922000</v>
      </c>
      <c r="O153" s="148">
        <v>1</v>
      </c>
      <c r="P153" s="155"/>
      <c r="Q153" s="156"/>
      <c r="R153" s="262" t="s">
        <v>405</v>
      </c>
      <c r="S153" s="75"/>
      <c r="T153" s="75"/>
    </row>
    <row r="154" spans="7:20" s="98" customFormat="1" hidden="1">
      <c r="G154" s="164"/>
      <c r="H154" s="146" t="s">
        <v>408</v>
      </c>
      <c r="I154" s="151">
        <f t="shared" si="9"/>
        <v>200</v>
      </c>
      <c r="J154" s="152">
        <f t="shared" si="7"/>
        <v>1</v>
      </c>
      <c r="K154" s="153">
        <f t="shared" si="6"/>
        <v>200</v>
      </c>
      <c r="L154" s="153">
        <f t="shared" si="5"/>
        <v>200</v>
      </c>
      <c r="M154" s="165">
        <v>789</v>
      </c>
      <c r="N154" s="153">
        <f t="shared" si="8"/>
        <v>157800</v>
      </c>
      <c r="O154" s="148">
        <v>1</v>
      </c>
      <c r="P154" s="155"/>
      <c r="Q154" s="156"/>
      <c r="R154" s="262" t="s">
        <v>409</v>
      </c>
      <c r="S154" s="75"/>
      <c r="T154" s="75"/>
    </row>
    <row r="155" spans="7:20" s="98" customFormat="1" hidden="1">
      <c r="G155" s="164"/>
      <c r="H155" s="146" t="s">
        <v>411</v>
      </c>
      <c r="I155" s="151">
        <f t="shared" si="9"/>
        <v>11300</v>
      </c>
      <c r="J155" s="152">
        <f t="shared" si="7"/>
        <v>1.3</v>
      </c>
      <c r="K155" s="153">
        <f t="shared" si="6"/>
        <v>14690</v>
      </c>
      <c r="L155" s="153">
        <f t="shared" si="5"/>
        <v>15819.999999999998</v>
      </c>
      <c r="M155" s="165">
        <v>407</v>
      </c>
      <c r="N155" s="153">
        <f t="shared" si="8"/>
        <v>6438739.9999999991</v>
      </c>
      <c r="O155" s="148">
        <v>1</v>
      </c>
      <c r="P155" s="155">
        <v>0.2</v>
      </c>
      <c r="Q155" s="156">
        <v>0.1</v>
      </c>
      <c r="R155" s="262" t="s">
        <v>412</v>
      </c>
      <c r="S155" s="75"/>
      <c r="T155" s="75"/>
    </row>
    <row r="156" spans="7:20" s="98" customFormat="1" hidden="1">
      <c r="G156" s="164"/>
      <c r="H156" s="146" t="s">
        <v>523</v>
      </c>
      <c r="I156" s="151">
        <f t="shared" si="9"/>
        <v>10000</v>
      </c>
      <c r="J156" s="152">
        <f t="shared" si="7"/>
        <v>1</v>
      </c>
      <c r="K156" s="153">
        <f t="shared" si="6"/>
        <v>10000</v>
      </c>
      <c r="L156" s="153">
        <f t="shared" si="5"/>
        <v>10000</v>
      </c>
      <c r="M156" s="165">
        <v>912</v>
      </c>
      <c r="N156" s="153">
        <f t="shared" si="8"/>
        <v>9120000</v>
      </c>
      <c r="O156" s="148">
        <v>1</v>
      </c>
      <c r="P156" s="155"/>
      <c r="Q156" s="156"/>
      <c r="R156" s="262" t="s">
        <v>414</v>
      </c>
      <c r="S156" s="75"/>
      <c r="T156" s="75"/>
    </row>
    <row r="157" spans="7:20" s="98" customFormat="1" hidden="1">
      <c r="G157" s="164"/>
      <c r="H157" s="146" t="s">
        <v>418</v>
      </c>
      <c r="I157" s="151">
        <f t="shared" si="9"/>
        <v>11300</v>
      </c>
      <c r="J157" s="152">
        <f t="shared" si="7"/>
        <v>1</v>
      </c>
      <c r="K157" s="153">
        <f t="shared" si="6"/>
        <v>11300</v>
      </c>
      <c r="L157" s="153">
        <f t="shared" si="5"/>
        <v>11300</v>
      </c>
      <c r="M157" s="165">
        <v>171</v>
      </c>
      <c r="N157" s="153">
        <f t="shared" si="8"/>
        <v>1932300</v>
      </c>
      <c r="O157" s="148">
        <v>1</v>
      </c>
      <c r="P157" s="155"/>
      <c r="Q157" s="156"/>
      <c r="R157" s="262" t="s">
        <v>419</v>
      </c>
      <c r="S157" s="75"/>
      <c r="T157" s="75"/>
    </row>
    <row r="158" spans="7:20" s="98" customFormat="1" hidden="1">
      <c r="G158" s="164"/>
      <c r="H158" s="146" t="s">
        <v>420</v>
      </c>
      <c r="I158" s="151">
        <f t="shared" si="9"/>
        <v>1000</v>
      </c>
      <c r="J158" s="152">
        <f t="shared" si="7"/>
        <v>1</v>
      </c>
      <c r="K158" s="153">
        <f t="shared" si="6"/>
        <v>1000</v>
      </c>
      <c r="L158" s="153">
        <f t="shared" si="5"/>
        <v>1000</v>
      </c>
      <c r="M158" s="165">
        <v>186</v>
      </c>
      <c r="N158" s="153">
        <f t="shared" si="8"/>
        <v>186000</v>
      </c>
      <c r="O158" s="148">
        <v>1</v>
      </c>
      <c r="P158" s="155"/>
      <c r="Q158" s="156"/>
      <c r="R158" s="262"/>
      <c r="S158" s="75"/>
      <c r="T158" s="75"/>
    </row>
    <row r="159" spans="7:20" s="98" customFormat="1" hidden="1">
      <c r="G159" s="164"/>
      <c r="H159" s="146" t="s">
        <v>422</v>
      </c>
      <c r="I159" s="151">
        <f t="shared" si="9"/>
        <v>22600</v>
      </c>
      <c r="J159" s="152">
        <f t="shared" si="7"/>
        <v>1.4000000000000001</v>
      </c>
      <c r="K159" s="153">
        <f t="shared" si="6"/>
        <v>31640.000000000004</v>
      </c>
      <c r="L159" s="153">
        <f t="shared" si="5"/>
        <v>36160</v>
      </c>
      <c r="M159" s="165">
        <v>370</v>
      </c>
      <c r="N159" s="153">
        <f t="shared" si="8"/>
        <v>13379200</v>
      </c>
      <c r="O159" s="148">
        <v>1</v>
      </c>
      <c r="P159" s="155">
        <v>0.3</v>
      </c>
      <c r="Q159" s="156">
        <v>0.1</v>
      </c>
      <c r="R159" s="262" t="s">
        <v>423</v>
      </c>
      <c r="S159" s="75"/>
      <c r="T159" s="75"/>
    </row>
    <row r="160" spans="7:20" s="98" customFormat="1" hidden="1">
      <c r="G160" s="164"/>
      <c r="H160" s="146" t="s">
        <v>424</v>
      </c>
      <c r="I160" s="151">
        <f t="shared" si="9"/>
        <v>11300</v>
      </c>
      <c r="J160" s="152">
        <f t="shared" si="7"/>
        <v>1.4000000000000001</v>
      </c>
      <c r="K160" s="153">
        <f t="shared" si="6"/>
        <v>15820.000000000002</v>
      </c>
      <c r="L160" s="153">
        <f t="shared" si="5"/>
        <v>18080</v>
      </c>
      <c r="M160" s="165">
        <v>730</v>
      </c>
      <c r="N160" s="153">
        <f t="shared" si="8"/>
        <v>13198400</v>
      </c>
      <c r="O160" s="148">
        <v>1</v>
      </c>
      <c r="P160" s="155">
        <v>0.3</v>
      </c>
      <c r="Q160" s="156">
        <v>0.1</v>
      </c>
      <c r="R160" s="262" t="s">
        <v>425</v>
      </c>
      <c r="S160" s="75"/>
      <c r="T160" s="75"/>
    </row>
    <row r="161" spans="7:20" s="98" customFormat="1" hidden="1">
      <c r="G161" s="164"/>
      <c r="H161" s="146" t="s">
        <v>426</v>
      </c>
      <c r="I161" s="151">
        <f t="shared" si="9"/>
        <v>300</v>
      </c>
      <c r="J161" s="152">
        <f t="shared" si="7"/>
        <v>1</v>
      </c>
      <c r="K161" s="153">
        <f t="shared" si="6"/>
        <v>300</v>
      </c>
      <c r="L161" s="153">
        <f t="shared" si="5"/>
        <v>300</v>
      </c>
      <c r="M161" s="165">
        <v>1187</v>
      </c>
      <c r="N161" s="153">
        <f t="shared" si="8"/>
        <v>356100</v>
      </c>
      <c r="O161" s="148">
        <v>1</v>
      </c>
      <c r="P161" s="155"/>
      <c r="Q161" s="156"/>
      <c r="R161" s="262"/>
      <c r="S161" s="75"/>
      <c r="T161" s="75"/>
    </row>
    <row r="162" spans="7:20" s="98" customFormat="1" hidden="1">
      <c r="G162" s="164"/>
      <c r="H162" s="146" t="s">
        <v>427</v>
      </c>
      <c r="I162" s="151">
        <f t="shared" si="9"/>
        <v>1500</v>
      </c>
      <c r="J162" s="152">
        <f t="shared" si="7"/>
        <v>1</v>
      </c>
      <c r="K162" s="153">
        <f t="shared" si="6"/>
        <v>1500</v>
      </c>
      <c r="L162" s="153">
        <f t="shared" si="5"/>
        <v>1500</v>
      </c>
      <c r="M162" s="165">
        <v>296</v>
      </c>
      <c r="N162" s="153">
        <f t="shared" si="8"/>
        <v>444000</v>
      </c>
      <c r="O162" s="148">
        <v>1</v>
      </c>
      <c r="P162" s="155"/>
      <c r="Q162" s="156"/>
      <c r="R162" s="262"/>
      <c r="S162" s="75"/>
      <c r="T162" s="75"/>
    </row>
    <row r="163" spans="7:20" s="98" customFormat="1" hidden="1">
      <c r="G163" s="164"/>
      <c r="H163" s="146" t="s">
        <v>428</v>
      </c>
      <c r="I163" s="151">
        <f t="shared" si="9"/>
        <v>40</v>
      </c>
      <c r="J163" s="152">
        <f t="shared" si="7"/>
        <v>1</v>
      </c>
      <c r="K163" s="153">
        <f t="shared" si="6"/>
        <v>40</v>
      </c>
      <c r="L163" s="153">
        <f t="shared" si="5"/>
        <v>40</v>
      </c>
      <c r="M163" s="165">
        <v>79</v>
      </c>
      <c r="N163" s="153">
        <f t="shared" si="8"/>
        <v>3160</v>
      </c>
      <c r="O163" s="148">
        <v>1</v>
      </c>
      <c r="P163" s="155"/>
      <c r="Q163" s="156"/>
      <c r="R163" s="262"/>
      <c r="S163" s="75"/>
      <c r="T163" s="75"/>
    </row>
    <row r="164" spans="7:20" s="98" customFormat="1" hidden="1">
      <c r="G164" s="164"/>
      <c r="H164" s="146" t="s">
        <v>430</v>
      </c>
      <c r="I164" s="151">
        <f t="shared" si="9"/>
        <v>113</v>
      </c>
      <c r="J164" s="152">
        <f t="shared" si="7"/>
        <v>1</v>
      </c>
      <c r="K164" s="153">
        <f t="shared" si="6"/>
        <v>113</v>
      </c>
      <c r="L164" s="153">
        <f t="shared" si="5"/>
        <v>113</v>
      </c>
      <c r="M164" s="165">
        <v>67</v>
      </c>
      <c r="N164" s="153">
        <f t="shared" si="8"/>
        <v>7571</v>
      </c>
      <c r="O164" s="148">
        <v>1</v>
      </c>
      <c r="P164" s="155"/>
      <c r="Q164" s="156"/>
      <c r="R164" s="262"/>
      <c r="S164" s="75"/>
      <c r="T164" s="75"/>
    </row>
    <row r="165" spans="7:20" s="98" customFormat="1" hidden="1">
      <c r="G165" s="164"/>
      <c r="H165" s="146" t="s">
        <v>432</v>
      </c>
      <c r="I165" s="151">
        <f t="shared" si="9"/>
        <v>4000</v>
      </c>
      <c r="J165" s="152">
        <f t="shared" si="7"/>
        <v>1.3</v>
      </c>
      <c r="K165" s="153">
        <f t="shared" si="6"/>
        <v>5200</v>
      </c>
      <c r="L165" s="153">
        <f t="shared" si="5"/>
        <v>5600</v>
      </c>
      <c r="M165" s="165">
        <v>344</v>
      </c>
      <c r="N165" s="153">
        <f t="shared" si="8"/>
        <v>1926400</v>
      </c>
      <c r="O165" s="148">
        <v>1</v>
      </c>
      <c r="P165" s="155">
        <v>0.2</v>
      </c>
      <c r="Q165" s="156">
        <v>0.1</v>
      </c>
      <c r="R165" s="262" t="s">
        <v>433</v>
      </c>
      <c r="S165" s="75"/>
      <c r="T165" s="75"/>
    </row>
    <row r="166" spans="7:20" s="98" customFormat="1" hidden="1">
      <c r="G166" s="164"/>
      <c r="H166" s="146" t="s">
        <v>435</v>
      </c>
      <c r="I166" s="151">
        <f t="shared" si="9"/>
        <v>800</v>
      </c>
      <c r="J166" s="152">
        <f t="shared" si="7"/>
        <v>1.3</v>
      </c>
      <c r="K166" s="153">
        <f t="shared" si="6"/>
        <v>1040</v>
      </c>
      <c r="L166" s="153">
        <f t="shared" si="5"/>
        <v>1120</v>
      </c>
      <c r="M166" s="165">
        <v>123</v>
      </c>
      <c r="N166" s="153">
        <f t="shared" si="8"/>
        <v>137760</v>
      </c>
      <c r="O166" s="148">
        <v>1</v>
      </c>
      <c r="P166" s="155">
        <v>0.2</v>
      </c>
      <c r="Q166" s="156">
        <v>0.1</v>
      </c>
      <c r="R166" s="262" t="s">
        <v>436</v>
      </c>
      <c r="S166" s="75"/>
      <c r="T166" s="75"/>
    </row>
    <row r="167" spans="7:20" s="98" customFormat="1" hidden="1">
      <c r="G167" s="164"/>
      <c r="H167" s="146" t="s">
        <v>438</v>
      </c>
      <c r="I167" s="151">
        <f t="shared" si="9"/>
        <v>400</v>
      </c>
      <c r="J167" s="152">
        <f t="shared" si="7"/>
        <v>1.3</v>
      </c>
      <c r="K167" s="153">
        <f t="shared" si="6"/>
        <v>520</v>
      </c>
      <c r="L167" s="153">
        <f t="shared" si="5"/>
        <v>560</v>
      </c>
      <c r="M167" s="165">
        <v>16629</v>
      </c>
      <c r="N167" s="153">
        <f t="shared" si="8"/>
        <v>9312240</v>
      </c>
      <c r="O167" s="148">
        <v>1</v>
      </c>
      <c r="P167" s="155">
        <v>0.2</v>
      </c>
      <c r="Q167" s="156">
        <v>0.1</v>
      </c>
      <c r="R167" s="262" t="s">
        <v>439</v>
      </c>
      <c r="S167" s="75"/>
      <c r="T167" s="75"/>
    </row>
    <row r="168" spans="7:20" s="98" customFormat="1" hidden="1">
      <c r="G168" s="164"/>
      <c r="H168" s="146" t="s">
        <v>440</v>
      </c>
      <c r="I168" s="151">
        <f t="shared" si="9"/>
        <v>1500</v>
      </c>
      <c r="J168" s="152">
        <f t="shared" si="7"/>
        <v>1</v>
      </c>
      <c r="K168" s="153">
        <f t="shared" si="6"/>
        <v>1500</v>
      </c>
      <c r="L168" s="153">
        <f t="shared" si="5"/>
        <v>1500</v>
      </c>
      <c r="M168" s="165">
        <v>1213</v>
      </c>
      <c r="N168" s="153">
        <f t="shared" si="8"/>
        <v>1819500</v>
      </c>
      <c r="O168" s="148">
        <v>1</v>
      </c>
      <c r="P168" s="155"/>
      <c r="Q168" s="156"/>
      <c r="R168" s="262"/>
      <c r="S168" s="75"/>
      <c r="T168" s="75"/>
    </row>
    <row r="169" spans="7:20" s="98" customFormat="1" hidden="1">
      <c r="G169" s="164"/>
      <c r="H169" s="146" t="s">
        <v>441</v>
      </c>
      <c r="I169" s="151">
        <f t="shared" si="9"/>
        <v>20</v>
      </c>
      <c r="J169" s="152">
        <f t="shared" si="7"/>
        <v>1</v>
      </c>
      <c r="K169" s="153">
        <f t="shared" si="6"/>
        <v>20</v>
      </c>
      <c r="L169" s="153">
        <f t="shared" si="5"/>
        <v>20</v>
      </c>
      <c r="M169" s="165">
        <v>122</v>
      </c>
      <c r="N169" s="153">
        <f t="shared" si="8"/>
        <v>2440</v>
      </c>
      <c r="O169" s="148">
        <v>1</v>
      </c>
      <c r="P169" s="155"/>
      <c r="Q169" s="156"/>
      <c r="R169" s="262"/>
      <c r="S169" s="75"/>
      <c r="T169" s="75"/>
    </row>
    <row r="170" spans="7:20" s="98" customFormat="1" hidden="1">
      <c r="G170" s="164"/>
      <c r="H170" s="146" t="s">
        <v>442</v>
      </c>
      <c r="I170" s="151">
        <f t="shared" si="9"/>
        <v>10</v>
      </c>
      <c r="J170" s="152">
        <f t="shared" si="7"/>
        <v>1</v>
      </c>
      <c r="K170" s="153">
        <f t="shared" si="6"/>
        <v>10</v>
      </c>
      <c r="L170" s="153">
        <f t="shared" si="5"/>
        <v>10</v>
      </c>
      <c r="M170" s="165">
        <v>83</v>
      </c>
      <c r="N170" s="153">
        <f t="shared" si="8"/>
        <v>830</v>
      </c>
      <c r="O170" s="148">
        <v>1</v>
      </c>
      <c r="P170" s="155"/>
      <c r="Q170" s="156"/>
      <c r="R170" s="262"/>
      <c r="S170" s="75"/>
      <c r="T170" s="75"/>
    </row>
    <row r="171" spans="7:20" s="98" customFormat="1" hidden="1">
      <c r="G171" s="164"/>
      <c r="H171" s="146" t="s">
        <v>443</v>
      </c>
      <c r="I171" s="151">
        <f t="shared" si="9"/>
        <v>100</v>
      </c>
      <c r="J171" s="152">
        <f t="shared" si="7"/>
        <v>1</v>
      </c>
      <c r="K171" s="153">
        <f t="shared" si="6"/>
        <v>100</v>
      </c>
      <c r="L171" s="153">
        <f t="shared" si="5"/>
        <v>100</v>
      </c>
      <c r="M171" s="165">
        <v>145</v>
      </c>
      <c r="N171" s="153">
        <f t="shared" si="8"/>
        <v>14500</v>
      </c>
      <c r="O171" s="148">
        <v>1</v>
      </c>
      <c r="P171" s="155"/>
      <c r="Q171" s="156"/>
      <c r="R171" s="262"/>
      <c r="S171" s="75"/>
      <c r="T171" s="75"/>
    </row>
    <row r="172" spans="7:20" s="98" customFormat="1" hidden="1">
      <c r="G172" s="164"/>
      <c r="H172" s="146" t="s">
        <v>445</v>
      </c>
      <c r="I172" s="151">
        <f t="shared" si="9"/>
        <v>4520</v>
      </c>
      <c r="J172" s="152">
        <f t="shared" si="7"/>
        <v>1.3</v>
      </c>
      <c r="K172" s="153">
        <f t="shared" si="6"/>
        <v>5876</v>
      </c>
      <c r="L172" s="153">
        <f t="shared" si="5"/>
        <v>6328</v>
      </c>
      <c r="M172" s="165">
        <v>725</v>
      </c>
      <c r="N172" s="153">
        <f t="shared" si="8"/>
        <v>4587800</v>
      </c>
      <c r="O172" s="148">
        <v>1</v>
      </c>
      <c r="P172" s="155">
        <v>0.2</v>
      </c>
      <c r="Q172" s="156">
        <v>0.1</v>
      </c>
      <c r="R172" s="262" t="s">
        <v>446</v>
      </c>
      <c r="S172" s="75"/>
      <c r="T172" s="75"/>
    </row>
    <row r="173" spans="7:20" s="98" customFormat="1" hidden="1">
      <c r="G173" s="164"/>
      <c r="H173" s="146" t="s">
        <v>448</v>
      </c>
      <c r="I173" s="151">
        <f t="shared" si="9"/>
        <v>20</v>
      </c>
      <c r="J173" s="152">
        <f t="shared" si="7"/>
        <v>1</v>
      </c>
      <c r="K173" s="153">
        <f t="shared" si="6"/>
        <v>20</v>
      </c>
      <c r="L173" s="153">
        <f t="shared" si="5"/>
        <v>20</v>
      </c>
      <c r="M173" s="165">
        <v>2423</v>
      </c>
      <c r="N173" s="153">
        <f t="shared" si="8"/>
        <v>48460</v>
      </c>
      <c r="O173" s="148">
        <v>1</v>
      </c>
      <c r="P173" s="155"/>
      <c r="Q173" s="156"/>
      <c r="R173" s="262"/>
      <c r="S173" s="75"/>
      <c r="T173" s="75"/>
    </row>
    <row r="174" spans="7:20" s="98" customFormat="1" hidden="1">
      <c r="G174" s="164"/>
      <c r="H174" s="146" t="s">
        <v>450</v>
      </c>
      <c r="I174" s="151">
        <f t="shared" si="9"/>
        <v>600</v>
      </c>
      <c r="J174" s="152">
        <f t="shared" si="7"/>
        <v>1</v>
      </c>
      <c r="K174" s="153">
        <f t="shared" si="6"/>
        <v>600</v>
      </c>
      <c r="L174" s="153">
        <f t="shared" si="5"/>
        <v>600</v>
      </c>
      <c r="M174" s="165">
        <v>86</v>
      </c>
      <c r="N174" s="153">
        <f t="shared" si="8"/>
        <v>51600</v>
      </c>
      <c r="O174" s="148">
        <v>1</v>
      </c>
      <c r="P174" s="155"/>
      <c r="Q174" s="156"/>
      <c r="R174" s="262"/>
      <c r="S174" s="75"/>
      <c r="T174" s="75"/>
    </row>
    <row r="175" spans="7:20" s="98" customFormat="1" hidden="1">
      <c r="G175" s="164"/>
      <c r="H175" s="146" t="s">
        <v>452</v>
      </c>
      <c r="I175" s="151">
        <f t="shared" si="9"/>
        <v>100</v>
      </c>
      <c r="J175" s="152">
        <f t="shared" si="7"/>
        <v>1</v>
      </c>
      <c r="K175" s="153">
        <f t="shared" si="6"/>
        <v>100</v>
      </c>
      <c r="L175" s="153">
        <f t="shared" si="5"/>
        <v>100</v>
      </c>
      <c r="M175" s="165">
        <v>1146</v>
      </c>
      <c r="N175" s="153">
        <f t="shared" si="8"/>
        <v>114600</v>
      </c>
      <c r="O175" s="148">
        <v>1</v>
      </c>
      <c r="P175" s="155"/>
      <c r="Q175" s="156"/>
      <c r="R175" s="262"/>
      <c r="S175" s="75"/>
      <c r="T175" s="75"/>
    </row>
    <row r="176" spans="7:20" s="98" customFormat="1" hidden="1">
      <c r="G176" s="164"/>
      <c r="H176" s="146" t="s">
        <v>454</v>
      </c>
      <c r="I176" s="151">
        <f t="shared" si="9"/>
        <v>7000</v>
      </c>
      <c r="J176" s="152">
        <f t="shared" si="7"/>
        <v>1</v>
      </c>
      <c r="K176" s="153">
        <f t="shared" si="6"/>
        <v>7000</v>
      </c>
      <c r="L176" s="153">
        <f t="shared" si="5"/>
        <v>7000</v>
      </c>
      <c r="M176" s="165">
        <v>1403</v>
      </c>
      <c r="N176" s="153">
        <f t="shared" si="8"/>
        <v>9821000</v>
      </c>
      <c r="O176" s="148">
        <v>1</v>
      </c>
      <c r="P176" s="155"/>
      <c r="Q176" s="156"/>
      <c r="R176" s="262" t="s">
        <v>455</v>
      </c>
      <c r="S176" s="75"/>
      <c r="T176" s="75"/>
    </row>
    <row r="177" spans="7:20" s="98" customFormat="1" hidden="1">
      <c r="G177" s="164"/>
      <c r="H177" s="146" t="s">
        <v>456</v>
      </c>
      <c r="I177" s="151">
        <f t="shared" si="9"/>
        <v>10</v>
      </c>
      <c r="J177" s="152">
        <f t="shared" si="7"/>
        <v>1</v>
      </c>
      <c r="K177" s="153">
        <f t="shared" si="6"/>
        <v>10</v>
      </c>
      <c r="L177" s="153">
        <f t="shared" si="5"/>
        <v>10</v>
      </c>
      <c r="M177" s="165">
        <v>119</v>
      </c>
      <c r="N177" s="153">
        <f t="shared" si="8"/>
        <v>1190</v>
      </c>
      <c r="O177" s="148">
        <v>1</v>
      </c>
      <c r="P177" s="155"/>
      <c r="Q177" s="156"/>
      <c r="R177" s="262"/>
      <c r="S177" s="75"/>
      <c r="T177" s="75"/>
    </row>
    <row r="178" spans="7:20" s="98" customFormat="1" hidden="1">
      <c r="G178" s="164"/>
      <c r="H178" s="146" t="s">
        <v>457</v>
      </c>
      <c r="I178" s="151">
        <f t="shared" si="9"/>
        <v>66000</v>
      </c>
      <c r="J178" s="152">
        <f t="shared" si="7"/>
        <v>1</v>
      </c>
      <c r="K178" s="153">
        <f t="shared" si="6"/>
        <v>66000</v>
      </c>
      <c r="L178" s="153">
        <f t="shared" si="5"/>
        <v>66000</v>
      </c>
      <c r="M178" s="165">
        <v>1298</v>
      </c>
      <c r="N178" s="153">
        <f t="shared" si="8"/>
        <v>85668000</v>
      </c>
      <c r="O178" s="148">
        <v>1</v>
      </c>
      <c r="P178" s="155"/>
      <c r="Q178" s="156"/>
      <c r="R178" s="262" t="s">
        <v>458</v>
      </c>
      <c r="S178" s="75"/>
      <c r="T178" s="75"/>
    </row>
    <row r="179" spans="7:20" s="98" customFormat="1" hidden="1">
      <c r="G179" s="164"/>
      <c r="H179" s="146" t="s">
        <v>460</v>
      </c>
      <c r="I179" s="151">
        <f t="shared" si="9"/>
        <v>20</v>
      </c>
      <c r="J179" s="152">
        <f t="shared" si="7"/>
        <v>1</v>
      </c>
      <c r="K179" s="153">
        <f t="shared" si="6"/>
        <v>20</v>
      </c>
      <c r="L179" s="153">
        <f t="shared" si="5"/>
        <v>20</v>
      </c>
      <c r="M179" s="165">
        <v>5249</v>
      </c>
      <c r="N179" s="153">
        <f t="shared" si="8"/>
        <v>104980</v>
      </c>
      <c r="O179" s="148">
        <v>1</v>
      </c>
      <c r="P179" s="155"/>
      <c r="Q179" s="156"/>
      <c r="R179" s="262"/>
      <c r="S179" s="75"/>
      <c r="T179" s="75"/>
    </row>
    <row r="180" spans="7:20" s="98" customFormat="1" hidden="1">
      <c r="G180" s="164"/>
      <c r="H180" s="146" t="s">
        <v>461</v>
      </c>
      <c r="I180" s="151">
        <f t="shared" si="9"/>
        <v>20000</v>
      </c>
      <c r="J180" s="152">
        <f t="shared" si="7"/>
        <v>1.3</v>
      </c>
      <c r="K180" s="153">
        <f t="shared" si="6"/>
        <v>26000</v>
      </c>
      <c r="L180" s="153">
        <f t="shared" si="5"/>
        <v>28000</v>
      </c>
      <c r="M180" s="165">
        <v>479</v>
      </c>
      <c r="N180" s="153">
        <f t="shared" si="8"/>
        <v>13412000</v>
      </c>
      <c r="O180" s="148">
        <v>1</v>
      </c>
      <c r="P180" s="155">
        <v>0.2</v>
      </c>
      <c r="Q180" s="156">
        <v>0.1</v>
      </c>
      <c r="R180" s="262" t="s">
        <v>462</v>
      </c>
      <c r="S180" s="75"/>
      <c r="T180" s="75"/>
    </row>
    <row r="181" spans="7:20" s="98" customFormat="1" hidden="1">
      <c r="G181" s="164"/>
      <c r="H181" s="146" t="s">
        <v>463</v>
      </c>
      <c r="I181" s="151">
        <f t="shared" ref="I181:I210" si="10">O68</f>
        <v>113000</v>
      </c>
      <c r="J181" s="152">
        <f t="shared" si="7"/>
        <v>1.3</v>
      </c>
      <c r="K181" s="153">
        <f t="shared" si="6"/>
        <v>146900</v>
      </c>
      <c r="L181" s="153">
        <f t="shared" ref="L181:L208" si="11">I181*(1+$D$127*P181)</f>
        <v>158200</v>
      </c>
      <c r="M181" s="165">
        <v>473</v>
      </c>
      <c r="N181" s="153">
        <f t="shared" si="8"/>
        <v>74828600</v>
      </c>
      <c r="O181" s="148">
        <v>1</v>
      </c>
      <c r="P181" s="155">
        <v>0.2</v>
      </c>
      <c r="Q181" s="156">
        <v>0.1</v>
      </c>
      <c r="R181" s="262" t="s">
        <v>464</v>
      </c>
      <c r="S181" s="75"/>
      <c r="T181" s="75"/>
    </row>
    <row r="182" spans="7:20" s="98" customFormat="1" hidden="1">
      <c r="G182" s="164"/>
      <c r="H182" s="146" t="s">
        <v>466</v>
      </c>
      <c r="I182" s="151">
        <f t="shared" si="10"/>
        <v>4520</v>
      </c>
      <c r="J182" s="152">
        <f t="shared" si="7"/>
        <v>1.3</v>
      </c>
      <c r="K182" s="153">
        <f t="shared" ref="K182:K208" si="12">I182*J182</f>
        <v>5876</v>
      </c>
      <c r="L182" s="153">
        <f t="shared" si="11"/>
        <v>6328</v>
      </c>
      <c r="M182" s="165">
        <v>1802</v>
      </c>
      <c r="N182" s="153">
        <f t="shared" si="8"/>
        <v>11403056</v>
      </c>
      <c r="O182" s="148">
        <v>1</v>
      </c>
      <c r="P182" s="155">
        <v>0.2</v>
      </c>
      <c r="Q182" s="156">
        <v>0.1</v>
      </c>
      <c r="R182" s="262" t="s">
        <v>467</v>
      </c>
      <c r="S182" s="75"/>
      <c r="T182" s="75"/>
    </row>
    <row r="183" spans="7:20" s="98" customFormat="1" hidden="1">
      <c r="G183" s="164"/>
      <c r="H183" s="146" t="s">
        <v>468</v>
      </c>
      <c r="I183" s="151">
        <f t="shared" si="10"/>
        <v>4000</v>
      </c>
      <c r="J183" s="152">
        <f t="shared" ref="J183:J208" si="13">O183+P183+Q183</f>
        <v>1</v>
      </c>
      <c r="K183" s="153">
        <f t="shared" si="12"/>
        <v>4000</v>
      </c>
      <c r="L183" s="153">
        <f t="shared" si="11"/>
        <v>4000</v>
      </c>
      <c r="M183" s="165">
        <v>1602</v>
      </c>
      <c r="N183" s="153">
        <f t="shared" ref="N183:N208" si="14">L183*M183</f>
        <v>6408000</v>
      </c>
      <c r="O183" s="148">
        <v>1</v>
      </c>
      <c r="P183" s="155"/>
      <c r="Q183" s="156"/>
      <c r="R183" s="262" t="s">
        <v>469</v>
      </c>
      <c r="S183" s="75"/>
      <c r="T183" s="75"/>
    </row>
    <row r="184" spans="7:20" s="98" customFormat="1" hidden="1">
      <c r="G184" s="164"/>
      <c r="H184" s="146" t="s">
        <v>470</v>
      </c>
      <c r="I184" s="151">
        <f t="shared" si="10"/>
        <v>500</v>
      </c>
      <c r="J184" s="152">
        <f t="shared" si="13"/>
        <v>1</v>
      </c>
      <c r="K184" s="153">
        <f t="shared" si="12"/>
        <v>500</v>
      </c>
      <c r="L184" s="153">
        <f t="shared" si="11"/>
        <v>500</v>
      </c>
      <c r="M184" s="165">
        <v>441</v>
      </c>
      <c r="N184" s="153">
        <f t="shared" si="14"/>
        <v>220500</v>
      </c>
      <c r="O184" s="148">
        <v>1</v>
      </c>
      <c r="P184" s="155"/>
      <c r="Q184" s="156"/>
      <c r="R184" s="262"/>
      <c r="S184" s="75"/>
      <c r="T184" s="75"/>
    </row>
    <row r="185" spans="7:20" s="98" customFormat="1" hidden="1">
      <c r="G185" s="164"/>
      <c r="H185" s="146" t="s">
        <v>471</v>
      </c>
      <c r="I185" s="151">
        <f t="shared" si="10"/>
        <v>100</v>
      </c>
      <c r="J185" s="152">
        <f t="shared" si="13"/>
        <v>1</v>
      </c>
      <c r="K185" s="153">
        <f t="shared" si="12"/>
        <v>100</v>
      </c>
      <c r="L185" s="153">
        <f t="shared" si="11"/>
        <v>100</v>
      </c>
      <c r="M185" s="165">
        <v>1141</v>
      </c>
      <c r="N185" s="153">
        <f t="shared" si="14"/>
        <v>114100</v>
      </c>
      <c r="O185" s="148">
        <v>1</v>
      </c>
      <c r="P185" s="155"/>
      <c r="Q185" s="156"/>
      <c r="R185" s="262"/>
      <c r="S185" s="75"/>
      <c r="T185" s="75"/>
    </row>
    <row r="186" spans="7:20" s="98" customFormat="1" hidden="1">
      <c r="G186" s="164"/>
      <c r="H186" s="146" t="s">
        <v>472</v>
      </c>
      <c r="I186" s="151">
        <f t="shared" si="10"/>
        <v>500</v>
      </c>
      <c r="J186" s="152">
        <f t="shared" si="13"/>
        <v>1</v>
      </c>
      <c r="K186" s="153">
        <f t="shared" si="12"/>
        <v>500</v>
      </c>
      <c r="L186" s="153">
        <f t="shared" si="11"/>
        <v>500</v>
      </c>
      <c r="M186" s="165">
        <v>327</v>
      </c>
      <c r="N186" s="153">
        <f t="shared" si="14"/>
        <v>163500</v>
      </c>
      <c r="O186" s="148">
        <v>1</v>
      </c>
      <c r="P186" s="155"/>
      <c r="Q186" s="156"/>
      <c r="R186" s="262" t="s">
        <v>473</v>
      </c>
      <c r="S186" s="75"/>
      <c r="T186" s="75"/>
    </row>
    <row r="187" spans="7:20" s="98" customFormat="1" hidden="1">
      <c r="G187" s="164"/>
      <c r="H187" s="146" t="s">
        <v>475</v>
      </c>
      <c r="I187" s="151">
        <f t="shared" si="10"/>
        <v>100</v>
      </c>
      <c r="J187" s="152">
        <f t="shared" si="13"/>
        <v>1</v>
      </c>
      <c r="K187" s="153">
        <f t="shared" si="12"/>
        <v>100</v>
      </c>
      <c r="L187" s="153">
        <f t="shared" si="11"/>
        <v>100</v>
      </c>
      <c r="M187" s="165">
        <v>113</v>
      </c>
      <c r="N187" s="153">
        <f t="shared" si="14"/>
        <v>11300</v>
      </c>
      <c r="O187" s="148">
        <v>1</v>
      </c>
      <c r="P187" s="155"/>
      <c r="Q187" s="156"/>
      <c r="R187" s="262"/>
      <c r="S187" s="75"/>
      <c r="T187" s="75"/>
    </row>
    <row r="188" spans="7:20" s="98" customFormat="1" hidden="1">
      <c r="G188" s="164"/>
      <c r="H188" s="146" t="s">
        <v>477</v>
      </c>
      <c r="I188" s="151">
        <f t="shared" si="10"/>
        <v>20000</v>
      </c>
      <c r="J188" s="152">
        <f t="shared" si="13"/>
        <v>1.2</v>
      </c>
      <c r="K188" s="153">
        <f t="shared" si="12"/>
        <v>24000</v>
      </c>
      <c r="L188" s="153">
        <f t="shared" si="11"/>
        <v>28000</v>
      </c>
      <c r="M188" s="165">
        <v>3738</v>
      </c>
      <c r="N188" s="153">
        <f t="shared" si="14"/>
        <v>104664000</v>
      </c>
      <c r="O188" s="148">
        <v>1</v>
      </c>
      <c r="P188" s="155">
        <v>0.2</v>
      </c>
      <c r="Q188" s="156"/>
      <c r="R188" s="262" t="s">
        <v>478</v>
      </c>
      <c r="S188" s="75"/>
      <c r="T188" s="75"/>
    </row>
    <row r="189" spans="7:20" s="98" customFormat="1" hidden="1">
      <c r="G189" s="164"/>
      <c r="H189" s="146" t="s">
        <v>480</v>
      </c>
      <c r="I189" s="151">
        <f t="shared" si="10"/>
        <v>200000</v>
      </c>
      <c r="J189" s="152">
        <f t="shared" si="13"/>
        <v>1.2</v>
      </c>
      <c r="K189" s="153">
        <f t="shared" si="12"/>
        <v>240000</v>
      </c>
      <c r="L189" s="153">
        <f t="shared" si="11"/>
        <v>280000</v>
      </c>
      <c r="M189" s="165">
        <f xml:space="preserve"> E150 - 512 + 1300</f>
        <v>788</v>
      </c>
      <c r="N189" s="153">
        <f t="shared" si="14"/>
        <v>220640000</v>
      </c>
      <c r="O189" s="148">
        <v>1</v>
      </c>
      <c r="P189" s="155">
        <v>0.2</v>
      </c>
      <c r="Q189" s="156"/>
      <c r="R189" s="262" t="s">
        <v>481</v>
      </c>
      <c r="S189" s="75"/>
      <c r="T189" s="75"/>
    </row>
    <row r="190" spans="7:20" s="98" customFormat="1" hidden="1">
      <c r="G190" s="164"/>
      <c r="H190" s="146" t="s">
        <v>483</v>
      </c>
      <c r="I190" s="151">
        <f t="shared" si="10"/>
        <v>400000</v>
      </c>
      <c r="J190" s="152">
        <f t="shared" si="13"/>
        <v>1.2</v>
      </c>
      <c r="K190" s="153">
        <f t="shared" si="12"/>
        <v>480000</v>
      </c>
      <c r="L190" s="153">
        <f t="shared" si="11"/>
        <v>560000</v>
      </c>
      <c r="M190" s="165">
        <v>469</v>
      </c>
      <c r="N190" s="153">
        <f t="shared" si="14"/>
        <v>262640000</v>
      </c>
      <c r="O190" s="148">
        <v>1</v>
      </c>
      <c r="P190" s="155">
        <v>0.2</v>
      </c>
      <c r="Q190" s="156"/>
      <c r="R190" s="262" t="s">
        <v>481</v>
      </c>
      <c r="S190" s="75"/>
      <c r="T190" s="75"/>
    </row>
    <row r="191" spans="7:20" s="98" customFormat="1" hidden="1">
      <c r="G191" s="164"/>
      <c r="H191" s="146" t="s">
        <v>485</v>
      </c>
      <c r="I191" s="151">
        <f t="shared" si="10"/>
        <v>150</v>
      </c>
      <c r="J191" s="152">
        <f t="shared" si="13"/>
        <v>2.2000000000000002</v>
      </c>
      <c r="K191" s="153">
        <f t="shared" si="12"/>
        <v>330</v>
      </c>
      <c r="L191" s="153">
        <f t="shared" si="11"/>
        <v>210</v>
      </c>
      <c r="M191" s="165">
        <v>501</v>
      </c>
      <c r="N191" s="153">
        <f t="shared" si="14"/>
        <v>105210</v>
      </c>
      <c r="O191" s="148">
        <v>2</v>
      </c>
      <c r="P191" s="155">
        <v>0.2</v>
      </c>
      <c r="Q191" s="156"/>
      <c r="R191" s="262" t="s">
        <v>486</v>
      </c>
      <c r="S191" s="75"/>
      <c r="T191" s="75"/>
    </row>
    <row r="192" spans="7:20" s="98" customFormat="1" hidden="1">
      <c r="G192" s="164"/>
      <c r="H192" s="146" t="s">
        <v>488</v>
      </c>
      <c r="I192" s="151">
        <f t="shared" si="10"/>
        <v>20</v>
      </c>
      <c r="J192" s="152">
        <f t="shared" si="13"/>
        <v>1.2</v>
      </c>
      <c r="K192" s="153">
        <f t="shared" si="12"/>
        <v>24</v>
      </c>
      <c r="L192" s="153">
        <f t="shared" si="11"/>
        <v>28</v>
      </c>
      <c r="M192" s="165">
        <v>4540</v>
      </c>
      <c r="N192" s="153">
        <f t="shared" si="14"/>
        <v>127120</v>
      </c>
      <c r="O192" s="148">
        <v>1</v>
      </c>
      <c r="P192" s="155">
        <v>0.2</v>
      </c>
      <c r="Q192" s="156"/>
      <c r="R192" s="262" t="s">
        <v>489</v>
      </c>
      <c r="S192" s="75"/>
      <c r="T192" s="75"/>
    </row>
    <row r="193" spans="7:26" s="98" customFormat="1" hidden="1">
      <c r="G193" s="164"/>
      <c r="H193" s="146" t="s">
        <v>491</v>
      </c>
      <c r="I193" s="151">
        <f t="shared" si="10"/>
        <v>400</v>
      </c>
      <c r="J193" s="152">
        <f t="shared" si="13"/>
        <v>1.2</v>
      </c>
      <c r="K193" s="153">
        <f t="shared" si="12"/>
        <v>480</v>
      </c>
      <c r="L193" s="153">
        <f t="shared" si="11"/>
        <v>560</v>
      </c>
      <c r="M193" s="165">
        <v>1040</v>
      </c>
      <c r="N193" s="153">
        <f t="shared" si="14"/>
        <v>582400</v>
      </c>
      <c r="O193" s="148">
        <v>1</v>
      </c>
      <c r="P193" s="155">
        <v>0.2</v>
      </c>
      <c r="Q193" s="156"/>
      <c r="R193" s="262" t="s">
        <v>492</v>
      </c>
      <c r="S193" s="75"/>
      <c r="T193" s="75"/>
    </row>
    <row r="194" spans="7:26" s="98" customFormat="1" hidden="1">
      <c r="G194" s="164"/>
      <c r="H194" s="146" t="s">
        <v>494</v>
      </c>
      <c r="I194" s="151">
        <f t="shared" si="10"/>
        <v>10</v>
      </c>
      <c r="J194" s="152">
        <f t="shared" si="13"/>
        <v>1</v>
      </c>
      <c r="K194" s="153">
        <f t="shared" si="12"/>
        <v>10</v>
      </c>
      <c r="L194" s="153">
        <f t="shared" si="11"/>
        <v>10</v>
      </c>
      <c r="M194" s="165">
        <v>1091</v>
      </c>
      <c r="N194" s="153">
        <f t="shared" si="14"/>
        <v>10910</v>
      </c>
      <c r="O194" s="148">
        <v>1</v>
      </c>
      <c r="P194" s="155"/>
      <c r="Q194" s="156"/>
      <c r="R194" s="262"/>
      <c r="S194" s="75"/>
      <c r="T194" s="75"/>
    </row>
    <row r="195" spans="7:26" s="98" customFormat="1" hidden="1">
      <c r="G195" s="164"/>
      <c r="H195" s="146" t="s">
        <v>495</v>
      </c>
      <c r="I195" s="151">
        <f t="shared" si="10"/>
        <v>100</v>
      </c>
      <c r="J195" s="152">
        <f t="shared" si="13"/>
        <v>1</v>
      </c>
      <c r="K195" s="153">
        <f t="shared" si="12"/>
        <v>100</v>
      </c>
      <c r="L195" s="153">
        <f t="shared" si="11"/>
        <v>100</v>
      </c>
      <c r="M195" s="165">
        <v>160</v>
      </c>
      <c r="N195" s="153">
        <f t="shared" si="14"/>
        <v>16000</v>
      </c>
      <c r="O195" s="148">
        <v>1</v>
      </c>
      <c r="P195" s="155"/>
      <c r="Q195" s="156"/>
      <c r="R195" s="262"/>
      <c r="S195" s="75"/>
      <c r="T195" s="75"/>
    </row>
    <row r="196" spans="7:26" s="98" customFormat="1" hidden="1">
      <c r="G196" s="164"/>
      <c r="H196" s="146" t="s">
        <v>496</v>
      </c>
      <c r="I196" s="151">
        <f t="shared" si="10"/>
        <v>6180</v>
      </c>
      <c r="J196" s="152">
        <f t="shared" si="13"/>
        <v>1.3</v>
      </c>
      <c r="K196" s="153">
        <f t="shared" si="12"/>
        <v>8034</v>
      </c>
      <c r="L196" s="153">
        <f t="shared" si="11"/>
        <v>8652</v>
      </c>
      <c r="M196" s="165">
        <v>421</v>
      </c>
      <c r="N196" s="153">
        <f t="shared" si="14"/>
        <v>3642492</v>
      </c>
      <c r="O196" s="148">
        <v>1</v>
      </c>
      <c r="P196" s="155">
        <v>0.2</v>
      </c>
      <c r="Q196" s="156">
        <v>0.1</v>
      </c>
      <c r="R196" s="262" t="s">
        <v>497</v>
      </c>
      <c r="S196" s="75"/>
      <c r="T196" s="75"/>
    </row>
    <row r="197" spans="7:26" s="98" customFormat="1" hidden="1">
      <c r="G197" s="164"/>
      <c r="H197" s="146" t="s">
        <v>499</v>
      </c>
      <c r="I197" s="151">
        <f t="shared" si="10"/>
        <v>1000</v>
      </c>
      <c r="J197" s="152">
        <f t="shared" si="13"/>
        <v>1</v>
      </c>
      <c r="K197" s="153">
        <f t="shared" si="12"/>
        <v>1000</v>
      </c>
      <c r="L197" s="153">
        <f t="shared" si="11"/>
        <v>1000</v>
      </c>
      <c r="M197" s="165">
        <v>94</v>
      </c>
      <c r="N197" s="153">
        <f t="shared" si="14"/>
        <v>94000</v>
      </c>
      <c r="O197" s="148">
        <v>1</v>
      </c>
      <c r="P197" s="155"/>
      <c r="Q197" s="156"/>
      <c r="R197" s="262"/>
      <c r="S197" s="75"/>
      <c r="T197" s="75"/>
    </row>
    <row r="198" spans="7:26" s="98" customFormat="1" hidden="1">
      <c r="G198" s="164"/>
      <c r="H198" s="146" t="s">
        <v>500</v>
      </c>
      <c r="I198" s="151">
        <f t="shared" si="10"/>
        <v>1400</v>
      </c>
      <c r="J198" s="152">
        <f t="shared" si="13"/>
        <v>1</v>
      </c>
      <c r="K198" s="153">
        <f t="shared" si="12"/>
        <v>1400</v>
      </c>
      <c r="L198" s="153">
        <f t="shared" si="11"/>
        <v>1400</v>
      </c>
      <c r="M198" s="165">
        <v>2205</v>
      </c>
      <c r="N198" s="153">
        <f t="shared" si="14"/>
        <v>3087000</v>
      </c>
      <c r="O198" s="148">
        <v>1</v>
      </c>
      <c r="P198" s="155"/>
      <c r="Q198" s="156"/>
      <c r="R198" s="262"/>
      <c r="S198" s="75"/>
      <c r="T198" s="75"/>
    </row>
    <row r="199" spans="7:26" s="98" customFormat="1" hidden="1">
      <c r="G199" s="164"/>
      <c r="H199" s="146" t="s">
        <v>501</v>
      </c>
      <c r="I199" s="151">
        <f t="shared" si="10"/>
        <v>30900</v>
      </c>
      <c r="J199" s="152">
        <f t="shared" si="13"/>
        <v>1</v>
      </c>
      <c r="K199" s="153">
        <f t="shared" si="12"/>
        <v>30900</v>
      </c>
      <c r="L199" s="153">
        <f t="shared" si="11"/>
        <v>30900</v>
      </c>
      <c r="M199" s="165">
        <v>435</v>
      </c>
      <c r="N199" s="153">
        <f t="shared" si="14"/>
        <v>13441500</v>
      </c>
      <c r="O199" s="148">
        <v>1</v>
      </c>
      <c r="P199" s="155"/>
      <c r="Q199" s="156"/>
      <c r="R199" s="262" t="s">
        <v>502</v>
      </c>
      <c r="S199" s="75"/>
      <c r="T199" s="75"/>
    </row>
    <row r="200" spans="7:26" s="98" customFormat="1" hidden="1">
      <c r="G200" s="164"/>
      <c r="H200" s="146" t="s">
        <v>503</v>
      </c>
      <c r="I200" s="151">
        <f t="shared" si="10"/>
        <v>309000</v>
      </c>
      <c r="J200" s="152">
        <f t="shared" si="13"/>
        <v>1</v>
      </c>
      <c r="K200" s="153">
        <f t="shared" si="12"/>
        <v>309000</v>
      </c>
      <c r="L200" s="153">
        <f t="shared" si="11"/>
        <v>309000</v>
      </c>
      <c r="M200" s="165">
        <v>95</v>
      </c>
      <c r="N200" s="153">
        <f t="shared" si="14"/>
        <v>29355000</v>
      </c>
      <c r="O200" s="148">
        <v>1</v>
      </c>
      <c r="P200" s="155"/>
      <c r="Q200" s="156"/>
      <c r="R200" s="262"/>
      <c r="S200" s="75"/>
      <c r="T200" s="75"/>
    </row>
    <row r="201" spans="7:26" s="98" customFormat="1" hidden="1">
      <c r="G201" s="164"/>
      <c r="H201" s="146" t="s">
        <v>504</v>
      </c>
      <c r="I201" s="151">
        <f t="shared" si="10"/>
        <v>100</v>
      </c>
      <c r="J201" s="152">
        <f t="shared" si="13"/>
        <v>1</v>
      </c>
      <c r="K201" s="153">
        <f t="shared" si="12"/>
        <v>100</v>
      </c>
      <c r="L201" s="153">
        <f t="shared" si="11"/>
        <v>100</v>
      </c>
      <c r="M201" s="165">
        <v>674</v>
      </c>
      <c r="N201" s="153">
        <f t="shared" si="14"/>
        <v>67400</v>
      </c>
      <c r="O201" s="148">
        <v>1</v>
      </c>
      <c r="P201" s="155"/>
      <c r="Q201" s="156"/>
      <c r="R201" s="262"/>
      <c r="S201" s="75"/>
      <c r="T201" s="75"/>
      <c r="U201" s="75"/>
      <c r="V201" s="75"/>
      <c r="W201" s="75"/>
      <c r="X201" s="75"/>
      <c r="Y201" s="75"/>
    </row>
    <row r="202" spans="7:26" s="98" customFormat="1" hidden="1">
      <c r="G202" s="164"/>
      <c r="H202" s="146" t="s">
        <v>505</v>
      </c>
      <c r="I202" s="151">
        <f t="shared" si="10"/>
        <v>16000</v>
      </c>
      <c r="J202" s="152">
        <f t="shared" si="13"/>
        <v>2</v>
      </c>
      <c r="K202" s="153">
        <f t="shared" si="12"/>
        <v>32000</v>
      </c>
      <c r="L202" s="153">
        <f t="shared" si="11"/>
        <v>16000</v>
      </c>
      <c r="M202" s="165">
        <v>2185</v>
      </c>
      <c r="N202" s="153">
        <f t="shared" si="14"/>
        <v>34960000</v>
      </c>
      <c r="O202" s="148">
        <v>1</v>
      </c>
      <c r="P202" s="149"/>
      <c r="Q202" s="150">
        <v>1</v>
      </c>
      <c r="R202" s="262" t="s">
        <v>506</v>
      </c>
      <c r="S202" s="75"/>
      <c r="T202" s="75"/>
    </row>
    <row r="203" spans="7:26" s="312" customFormat="1" hidden="1">
      <c r="G203" s="313"/>
      <c r="H203" s="314" t="s">
        <v>507</v>
      </c>
      <c r="I203" s="315">
        <f t="shared" si="10"/>
        <v>11300</v>
      </c>
      <c r="J203" s="316">
        <f t="shared" si="13"/>
        <v>1.3</v>
      </c>
      <c r="K203" s="153">
        <f t="shared" si="12"/>
        <v>14690</v>
      </c>
      <c r="L203" s="153">
        <f t="shared" si="11"/>
        <v>15819.999999999998</v>
      </c>
      <c r="M203" s="317">
        <v>728</v>
      </c>
      <c r="N203" s="153">
        <f t="shared" si="14"/>
        <v>11516959.999999998</v>
      </c>
      <c r="O203" s="318">
        <v>1</v>
      </c>
      <c r="P203" s="319">
        <v>0.2</v>
      </c>
      <c r="Q203" s="320">
        <v>0.1</v>
      </c>
      <c r="R203" s="321" t="s">
        <v>508</v>
      </c>
      <c r="S203" s="322"/>
      <c r="T203" s="322"/>
      <c r="U203" s="322"/>
      <c r="V203" s="322"/>
      <c r="W203" s="322"/>
      <c r="X203" s="322"/>
      <c r="Y203" s="322"/>
    </row>
    <row r="204" spans="7:26" s="98" customFormat="1" hidden="1">
      <c r="G204" s="164"/>
      <c r="H204" s="146" t="s">
        <v>509</v>
      </c>
      <c r="I204" s="151">
        <f t="shared" si="10"/>
        <v>226</v>
      </c>
      <c r="J204" s="152">
        <f t="shared" si="13"/>
        <v>1</v>
      </c>
      <c r="K204" s="153">
        <f t="shared" si="12"/>
        <v>226</v>
      </c>
      <c r="L204" s="153">
        <f t="shared" si="11"/>
        <v>226</v>
      </c>
      <c r="M204" s="165">
        <v>77</v>
      </c>
      <c r="N204" s="153">
        <f t="shared" si="14"/>
        <v>17402</v>
      </c>
      <c r="O204" s="148">
        <v>1</v>
      </c>
      <c r="P204" s="155"/>
      <c r="Q204" s="156"/>
      <c r="R204" s="262" t="s">
        <v>510</v>
      </c>
      <c r="S204" s="75"/>
      <c r="T204" s="75"/>
      <c r="U204" s="75"/>
      <c r="V204" s="75"/>
      <c r="W204" s="75"/>
      <c r="X204" s="75"/>
      <c r="Y204" s="75"/>
    </row>
    <row r="205" spans="7:26" s="98" customFormat="1" hidden="1">
      <c r="G205" s="164"/>
      <c r="H205" s="146" t="s">
        <v>512</v>
      </c>
      <c r="I205" s="151">
        <f t="shared" si="10"/>
        <v>2260</v>
      </c>
      <c r="J205" s="152">
        <f t="shared" si="13"/>
        <v>1</v>
      </c>
      <c r="K205" s="153">
        <f t="shared" si="12"/>
        <v>2260</v>
      </c>
      <c r="L205" s="153">
        <f t="shared" si="11"/>
        <v>2260</v>
      </c>
      <c r="M205" s="165">
        <v>143</v>
      </c>
      <c r="N205" s="153">
        <f t="shared" si="14"/>
        <v>323180</v>
      </c>
      <c r="O205" s="148">
        <v>1</v>
      </c>
      <c r="P205" s="155"/>
      <c r="Q205" s="156"/>
      <c r="R205" s="262"/>
      <c r="S205" s="75"/>
      <c r="T205" s="75"/>
      <c r="U205" s="75"/>
      <c r="V205" s="75"/>
      <c r="W205" s="75"/>
      <c r="X205" s="75"/>
      <c r="Y205" s="75"/>
    </row>
    <row r="206" spans="7:26" s="98" customFormat="1" hidden="1">
      <c r="G206" s="164"/>
      <c r="H206" s="146" t="s">
        <v>513</v>
      </c>
      <c r="I206" s="151">
        <f t="shared" si="10"/>
        <v>400</v>
      </c>
      <c r="J206" s="152">
        <f t="shared" si="13"/>
        <v>1</v>
      </c>
      <c r="K206" s="153">
        <f t="shared" si="12"/>
        <v>400</v>
      </c>
      <c r="L206" s="153">
        <f t="shared" si="11"/>
        <v>400</v>
      </c>
      <c r="M206" s="165">
        <v>14678</v>
      </c>
      <c r="N206" s="153">
        <f t="shared" si="14"/>
        <v>5871200</v>
      </c>
      <c r="O206" s="148">
        <v>1</v>
      </c>
      <c r="P206" s="155"/>
      <c r="Q206" s="156"/>
      <c r="R206" s="262"/>
      <c r="S206" s="75"/>
      <c r="T206" s="75"/>
      <c r="U206" s="75"/>
      <c r="V206" s="75"/>
      <c r="W206" s="75"/>
      <c r="X206" s="75"/>
      <c r="Y206" s="75"/>
    </row>
    <row r="207" spans="7:26" s="98" customFormat="1" hidden="1">
      <c r="G207" s="164"/>
      <c r="H207" s="146" t="s">
        <v>515</v>
      </c>
      <c r="I207" s="151">
        <f t="shared" si="10"/>
        <v>15</v>
      </c>
      <c r="J207" s="152">
        <f t="shared" si="13"/>
        <v>1</v>
      </c>
      <c r="K207" s="153">
        <f t="shared" si="12"/>
        <v>15</v>
      </c>
      <c r="L207" s="153">
        <f t="shared" si="11"/>
        <v>15</v>
      </c>
      <c r="M207" s="165">
        <v>162</v>
      </c>
      <c r="N207" s="153">
        <f t="shared" si="14"/>
        <v>2430</v>
      </c>
      <c r="O207" s="148">
        <v>1</v>
      </c>
      <c r="P207" s="155"/>
      <c r="Q207" s="156"/>
      <c r="R207" s="262"/>
      <c r="S207" s="75"/>
      <c r="T207" s="75"/>
      <c r="U207" s="75"/>
      <c r="V207" s="75"/>
      <c r="W207" s="75"/>
      <c r="X207" s="75"/>
      <c r="Y207" s="75"/>
      <c r="Z207" s="75"/>
    </row>
    <row r="208" spans="7:26" s="98" customFormat="1" hidden="1">
      <c r="G208" s="164"/>
      <c r="H208" s="146" t="s">
        <v>516</v>
      </c>
      <c r="I208" s="151">
        <f t="shared" si="10"/>
        <v>2260</v>
      </c>
      <c r="J208" s="152">
        <f t="shared" si="13"/>
        <v>1.3</v>
      </c>
      <c r="K208" s="153">
        <f t="shared" si="12"/>
        <v>2938</v>
      </c>
      <c r="L208" s="153">
        <f t="shared" si="11"/>
        <v>3164</v>
      </c>
      <c r="M208" s="165">
        <v>793</v>
      </c>
      <c r="N208" s="153">
        <f t="shared" si="14"/>
        <v>2509052</v>
      </c>
      <c r="O208" s="148">
        <v>1</v>
      </c>
      <c r="P208" s="155">
        <v>0.2</v>
      </c>
      <c r="Q208" s="156">
        <v>0.1</v>
      </c>
      <c r="R208" s="262" t="s">
        <v>517</v>
      </c>
      <c r="S208" s="75"/>
      <c r="T208" s="75"/>
      <c r="U208" s="75"/>
      <c r="V208" s="75"/>
      <c r="W208" s="75"/>
      <c r="X208" s="75"/>
      <c r="Y208" s="75"/>
      <c r="Z208" s="75"/>
    </row>
    <row r="209" spans="4:32" s="312" customFormat="1" hidden="1">
      <c r="G209" s="313"/>
      <c r="H209" s="314" t="s">
        <v>595</v>
      </c>
      <c r="I209" s="315">
        <f t="shared" si="10"/>
        <v>20000</v>
      </c>
      <c r="J209" s="316">
        <f t="shared" ref="J209" si="15">O209+P209+Q209</f>
        <v>10</v>
      </c>
      <c r="K209" s="153">
        <f t="shared" ref="K209" si="16">I209*J209</f>
        <v>200000</v>
      </c>
      <c r="L209" s="153">
        <f t="shared" ref="L209" si="17">I209*(1+$D$127*P209)</f>
        <v>20000</v>
      </c>
      <c r="M209" s="317">
        <v>8927</v>
      </c>
      <c r="N209" s="153">
        <f>L209*M209</f>
        <v>178540000</v>
      </c>
      <c r="O209" s="318">
        <v>10</v>
      </c>
      <c r="P209" s="319"/>
      <c r="Q209" s="320"/>
      <c r="R209" s="321" t="s">
        <v>597</v>
      </c>
      <c r="S209" s="322"/>
      <c r="T209" s="322"/>
      <c r="U209" s="322"/>
      <c r="V209" s="322"/>
      <c r="W209" s="322"/>
      <c r="X209" s="322"/>
      <c r="Y209" s="322"/>
    </row>
    <row r="210" spans="4:32" s="312" customFormat="1" hidden="1">
      <c r="G210" s="313"/>
      <c r="H210" s="314" t="s">
        <v>598</v>
      </c>
      <c r="I210" s="315">
        <f t="shared" si="10"/>
        <v>30</v>
      </c>
      <c r="J210" s="316">
        <f t="shared" ref="J210" si="18">O210+P210+Q210</f>
        <v>10</v>
      </c>
      <c r="K210" s="153">
        <f>I210*J210</f>
        <v>300</v>
      </c>
      <c r="L210" s="153">
        <f>I210*(1+$D$127*P210)</f>
        <v>30</v>
      </c>
      <c r="M210" s="317">
        <v>88</v>
      </c>
      <c r="N210" s="153">
        <f>L210*M210</f>
        <v>2640</v>
      </c>
      <c r="O210" s="318">
        <v>10</v>
      </c>
      <c r="P210" s="319"/>
      <c r="Q210" s="320"/>
      <c r="R210" s="321" t="s">
        <v>597</v>
      </c>
      <c r="S210" s="322"/>
      <c r="T210" s="322"/>
      <c r="U210" s="322"/>
      <c r="V210" s="322"/>
      <c r="W210" s="322"/>
      <c r="X210" s="322"/>
      <c r="Y210" s="322"/>
    </row>
    <row r="211" spans="4:32" s="98" customFormat="1" hidden="1">
      <c r="H211" s="165"/>
      <c r="I211" s="166"/>
      <c r="J211" s="166"/>
      <c r="K211" s="167">
        <f>SUM(K117:K209)</f>
        <v>2821984.7</v>
      </c>
      <c r="L211" s="167">
        <f>SUM(L117:L209)</f>
        <v>3235674.7</v>
      </c>
      <c r="M211" s="102"/>
      <c r="N211" s="167">
        <f>SUM(N117:N209)</f>
        <v>3151051416.0999999</v>
      </c>
      <c r="O211" s="135"/>
      <c r="P211" s="136"/>
      <c r="Q211" s="168"/>
      <c r="R211" s="75"/>
      <c r="S211" s="75"/>
      <c r="T211" s="75"/>
      <c r="U211" s="75"/>
      <c r="V211" s="75"/>
      <c r="W211" s="75"/>
      <c r="X211" s="75"/>
      <c r="Y211" s="75"/>
      <c r="Z211" s="75"/>
      <c r="AA211" s="75"/>
      <c r="AB211" s="75"/>
      <c r="AC211" s="75"/>
    </row>
    <row r="212" spans="4:32" s="98" customFormat="1">
      <c r="G212" s="75"/>
      <c r="H212" s="75"/>
      <c r="I212" s="85"/>
      <c r="J212" s="85"/>
      <c r="K212" s="85"/>
      <c r="L212" s="85"/>
      <c r="M212" s="85"/>
      <c r="N212" s="75"/>
      <c r="O212" s="135"/>
      <c r="P212" s="136"/>
      <c r="Q212" s="81"/>
      <c r="R212" s="75"/>
      <c r="S212" s="75"/>
      <c r="T212" s="75"/>
      <c r="U212" s="75"/>
      <c r="V212" s="75"/>
      <c r="W212" s="75"/>
      <c r="X212" s="75"/>
      <c r="Y212" s="75"/>
      <c r="Z212" s="75"/>
      <c r="AA212" s="75"/>
      <c r="AB212" s="75"/>
      <c r="AC212" s="75"/>
      <c r="AD212" s="75"/>
      <c r="AE212" s="75"/>
      <c r="AF212" s="75"/>
    </row>
    <row r="213" spans="4:32">
      <c r="D213" s="98"/>
      <c r="E213" s="98"/>
      <c r="F213" s="98"/>
      <c r="H213" s="75"/>
      <c r="Q213" s="81"/>
      <c r="R213" s="75"/>
    </row>
  </sheetData>
  <mergeCells count="19">
    <mergeCell ref="D16:D17"/>
    <mergeCell ref="E16:E17"/>
    <mergeCell ref="D20:D21"/>
    <mergeCell ref="E20:E21"/>
    <mergeCell ref="C24:C25"/>
    <mergeCell ref="D24:D25"/>
    <mergeCell ref="E24:E25"/>
    <mergeCell ref="C28:C29"/>
    <mergeCell ref="D28:D29"/>
    <mergeCell ref="E28:E29"/>
    <mergeCell ref="C35:C36"/>
    <mergeCell ref="D35:D36"/>
    <mergeCell ref="E35:E36"/>
    <mergeCell ref="C39:C40"/>
    <mergeCell ref="D39:D40"/>
    <mergeCell ref="E39:E40"/>
    <mergeCell ref="C44:C45"/>
    <mergeCell ref="D44:D45"/>
    <mergeCell ref="E44:E45"/>
  </mergeCells>
  <phoneticPr fontId="3"/>
  <dataValidations count="13">
    <dataValidation type="whole" imeMode="off" operator="greaterThanOrEqual" allowBlank="1" showInputMessage="1" showErrorMessage="1" sqref="D12:D13" xr:uid="{00000000-0002-0000-0200-000000000000}">
      <formula1>1</formula1>
    </dataValidation>
    <dataValidation type="whole" operator="lessThanOrEqual" allowBlank="1" showInputMessage="1" showErrorMessage="1" sqref="D18" xr:uid="{00000000-0002-0000-0200-000001000000}">
      <formula1>200</formula1>
    </dataValidation>
    <dataValidation type="whole" operator="lessThanOrEqual" allowBlank="1" showInputMessage="1" showErrorMessage="1" sqref="E18" xr:uid="{00000000-0002-0000-0200-000002000000}">
      <formula1>60</formula1>
    </dataValidation>
    <dataValidation type="whole" operator="lessThanOrEqual" allowBlank="1" showInputMessage="1" showErrorMessage="1" sqref="E22 E26 E30:E32 E46" xr:uid="{00000000-0002-0000-0200-000003000000}">
      <formula1>255</formula1>
    </dataValidation>
    <dataValidation type="whole" operator="lessThanOrEqual" allowBlank="1" showInputMessage="1" showErrorMessage="1" sqref="D26" xr:uid="{00000000-0002-0000-0200-000004000000}">
      <formula1>254</formula1>
    </dataValidation>
    <dataValidation type="whole" operator="lessThanOrEqual" allowBlank="1" showInputMessage="1" showErrorMessage="1" sqref="D30:D31" xr:uid="{00000000-0002-0000-0200-000005000000}">
      <formula1>30</formula1>
    </dataValidation>
    <dataValidation type="whole" operator="lessThanOrEqual" allowBlank="1" showInputMessage="1" showErrorMessage="1" sqref="D32" xr:uid="{00000000-0002-0000-0200-000006000000}">
      <formula1>10</formula1>
    </dataValidation>
    <dataValidation type="whole" operator="lessThanOrEqual" allowBlank="1" showInputMessage="1" showErrorMessage="1" sqref="E37" xr:uid="{00000000-0002-0000-0200-000007000000}">
      <formula1>1024</formula1>
    </dataValidation>
    <dataValidation type="whole" operator="lessThanOrEqual" allowBlank="1" showInputMessage="1" showErrorMessage="1" sqref="E41:E42" xr:uid="{00000000-0002-0000-0200-000008000000}">
      <formula1>256</formula1>
    </dataValidation>
    <dataValidation type="whole" operator="lessThanOrEqual" allowBlank="1" showInputMessage="1" showErrorMessage="1" sqref="D46" xr:uid="{00000000-0002-0000-0200-000009000000}">
      <formula1>250</formula1>
    </dataValidation>
    <dataValidation type="whole" operator="greaterThan" allowBlank="1" showInputMessage="1" showErrorMessage="1" sqref="D5" xr:uid="{00000000-0002-0000-0200-00000A000000}">
      <formula1>0</formula1>
    </dataValidation>
    <dataValidation type="decimal" operator="greaterThanOrEqual" allowBlank="1" showInputMessage="1" showErrorMessage="1" error="0～100の間で指定してください。" sqref="D8" xr:uid="{00000000-0002-0000-0200-00000B000000}">
      <formula1>0</formula1>
    </dataValidation>
    <dataValidation type="whole" imeMode="off" operator="greaterThanOrEqual" allowBlank="1" showInputMessage="1" showErrorMessage="1" sqref="D10 D7" xr:uid="{00000000-0002-0000-0200-00000C000000}">
      <formula1>0</formula1>
    </dataValidation>
  </dataValidations>
  <pageMargins left="0.39370078740157483" right="0.39370078740157483" top="0.59055118110236227" bottom="0.59055118110236227" header="0.31496062992125984" footer="0.31496062992125984"/>
  <pageSetup paperSize="8" scale="70" fitToHeight="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J154"/>
  <sheetViews>
    <sheetView showGridLines="0" workbookViewId="0">
      <pane xSplit="6" ySplit="4" topLeftCell="G5" activePane="bottomRight" state="frozen"/>
      <selection activeCell="I1" sqref="I1"/>
      <selection pane="topRight" activeCell="I1" sqref="I1"/>
      <selection pane="bottomLeft" activeCell="I1" sqref="I1"/>
      <selection pane="bottomRight"/>
    </sheetView>
  </sheetViews>
  <sheetFormatPr defaultColWidth="8.875" defaultRowHeight="13.5"/>
  <cols>
    <col min="1" max="1" width="2.125" style="75" customWidth="1"/>
    <col min="2" max="2" width="3.125" style="75" customWidth="1"/>
    <col min="3" max="3" width="45.25" style="75" customWidth="1"/>
    <col min="4" max="4" width="11.375" style="75" customWidth="1"/>
    <col min="5" max="5" width="8.75" style="75" customWidth="1"/>
    <col min="6" max="6" width="3.625" style="75" customWidth="1"/>
    <col min="7" max="7" width="3" style="75" customWidth="1"/>
    <col min="8" max="8" width="12.875" style="85" customWidth="1"/>
    <col min="9" max="9" width="8.25" style="85" bestFit="1" customWidth="1"/>
    <col min="10" max="10" width="8.5" style="85" customWidth="1"/>
    <col min="11" max="11" width="15.125" style="85" customWidth="1"/>
    <col min="12" max="12" width="14.5" style="85" customWidth="1"/>
    <col min="13" max="13" width="15.75" style="85" customWidth="1"/>
    <col min="14" max="14" width="19.875" style="75" customWidth="1"/>
    <col min="15" max="15" width="10.375" style="135" customWidth="1"/>
    <col min="16" max="16" width="12.375" style="136" bestFit="1" customWidth="1"/>
    <col min="17" max="17" width="18.875" style="136" hidden="1" customWidth="1"/>
    <col min="18" max="18" width="54.625" style="125" customWidth="1"/>
    <col min="19" max="23" width="8.875" style="75" customWidth="1"/>
    <col min="24" max="16384" width="8.875" style="75"/>
  </cols>
  <sheetData>
    <row r="1" spans="2:28" ht="14.25" thickBot="1">
      <c r="H1" s="76" t="s">
        <v>29</v>
      </c>
      <c r="I1" s="77">
        <v>8192</v>
      </c>
      <c r="J1" s="78" t="s">
        <v>57</v>
      </c>
      <c r="K1" s="78"/>
      <c r="L1" s="75"/>
      <c r="M1" s="75"/>
      <c r="O1" s="79"/>
      <c r="P1" s="80"/>
      <c r="Q1" s="80"/>
    </row>
    <row r="2" spans="2:28" ht="35.25">
      <c r="B2" s="82"/>
      <c r="C2" s="335" t="s">
        <v>550</v>
      </c>
      <c r="D2" s="335"/>
      <c r="E2" s="83"/>
      <c r="F2" s="84"/>
      <c r="H2" s="76"/>
      <c r="J2" s="78"/>
      <c r="K2" s="78"/>
      <c r="L2" s="75"/>
      <c r="M2" s="75"/>
      <c r="O2" s="79"/>
      <c r="P2" s="80"/>
      <c r="Q2" s="80"/>
    </row>
    <row r="3" spans="2:28" ht="18" customHeight="1" thickBot="1">
      <c r="B3" s="86"/>
      <c r="C3" s="309" t="s">
        <v>603</v>
      </c>
      <c r="D3" s="88"/>
      <c r="E3" s="87"/>
      <c r="F3" s="89"/>
      <c r="H3" s="90"/>
      <c r="I3" s="75"/>
      <c r="J3" s="75"/>
      <c r="K3" s="91"/>
      <c r="L3" s="92"/>
      <c r="M3" s="75"/>
      <c r="O3" s="79"/>
      <c r="P3" s="93" t="s">
        <v>30</v>
      </c>
      <c r="Q3" s="93"/>
    </row>
    <row r="4" spans="2:28" ht="18" customHeight="1" thickBot="1">
      <c r="B4" s="86"/>
      <c r="C4" s="95" t="s">
        <v>66</v>
      </c>
      <c r="D4" s="304">
        <f>ROUNDUP($P$22/1000,2)*1.1</f>
        <v>0.33</v>
      </c>
      <c r="E4" s="96" t="s">
        <v>67</v>
      </c>
      <c r="F4" s="89"/>
      <c r="H4" s="171" t="s">
        <v>58</v>
      </c>
      <c r="I4" s="171" t="s">
        <v>59</v>
      </c>
      <c r="J4" s="171" t="s">
        <v>60</v>
      </c>
      <c r="K4" s="171" t="s">
        <v>61</v>
      </c>
      <c r="L4" s="171" t="s">
        <v>62</v>
      </c>
      <c r="M4" s="171" t="s">
        <v>167</v>
      </c>
      <c r="N4" s="171" t="s">
        <v>114</v>
      </c>
      <c r="O4" s="171" t="s">
        <v>146</v>
      </c>
      <c r="P4" s="172" t="s">
        <v>168</v>
      </c>
      <c r="Q4" s="239"/>
      <c r="R4" s="240" t="s">
        <v>169</v>
      </c>
      <c r="S4" s="125"/>
      <c r="T4" s="125"/>
      <c r="U4" s="125"/>
      <c r="V4" s="125"/>
      <c r="W4" s="125"/>
      <c r="X4" s="125"/>
      <c r="Y4" s="125"/>
      <c r="Z4" s="125"/>
      <c r="AA4" s="125"/>
      <c r="AB4" s="125"/>
    </row>
    <row r="5" spans="2:28">
      <c r="B5" s="86"/>
      <c r="C5" s="99" t="s">
        <v>149</v>
      </c>
      <c r="D5" s="216">
        <v>3</v>
      </c>
      <c r="E5" s="101" t="s">
        <v>122</v>
      </c>
      <c r="F5" s="89"/>
      <c r="H5" s="102" t="s">
        <v>170</v>
      </c>
      <c r="I5" s="102">
        <v>10</v>
      </c>
      <c r="J5" s="102">
        <v>1</v>
      </c>
      <c r="K5" s="102">
        <v>29</v>
      </c>
      <c r="L5" s="102">
        <v>0</v>
      </c>
      <c r="M5" s="102">
        <f>30+297</f>
        <v>327</v>
      </c>
      <c r="N5" s="163">
        <f t="shared" ref="N5:N13" si="0">3+1*K5+3*L5+M5</f>
        <v>359</v>
      </c>
      <c r="O5" s="106">
        <f>(D7*D8*0.01)</f>
        <v>150</v>
      </c>
      <c r="P5" s="107">
        <f xml:space="preserve"> $I$1 * CEILING( 1* $O$5/ FLOOR(1* ( CEILING(($I$1 -20 - 4- 48- ($J$5 - 1) * 24 - 14) * (1 - $I$5/100), 1) - 4) / (MAX(1 * 3 + 4 + 2, ( 3 *1+ 1 * $K$5+ 3 * $L$5+ $M$5 )  )  + 2),1 ), 1 )/1024/1024</f>
        <v>6.25E-2</v>
      </c>
      <c r="Q5" s="133">
        <f t="shared" ref="Q5:Q13" si="1">M5*O5</f>
        <v>49050</v>
      </c>
      <c r="R5" s="163" t="s">
        <v>4</v>
      </c>
      <c r="S5" s="125"/>
      <c r="T5" s="125"/>
      <c r="U5" s="125"/>
      <c r="V5" s="131"/>
      <c r="W5" s="125"/>
      <c r="X5" s="125"/>
      <c r="Y5" s="125"/>
      <c r="Z5" s="125"/>
      <c r="AA5" s="125"/>
      <c r="AB5" s="125"/>
    </row>
    <row r="6" spans="2:28">
      <c r="B6" s="86"/>
      <c r="C6" s="108"/>
      <c r="D6" s="109"/>
      <c r="E6" s="87"/>
      <c r="F6" s="89"/>
      <c r="H6" s="102" t="s">
        <v>171</v>
      </c>
      <c r="I6" s="102">
        <v>10</v>
      </c>
      <c r="J6" s="102">
        <v>1</v>
      </c>
      <c r="K6" s="102">
        <v>21</v>
      </c>
      <c r="L6" s="102">
        <v>0</v>
      </c>
      <c r="M6" s="104">
        <f>30+170</f>
        <v>200</v>
      </c>
      <c r="N6" s="217">
        <f t="shared" si="0"/>
        <v>224</v>
      </c>
      <c r="O6" s="106">
        <f>(D7*D8*0.01)</f>
        <v>150</v>
      </c>
      <c r="P6" s="107">
        <f xml:space="preserve"> $I$1 * CEILING( 1* $O$6/ FLOOR(1* ( CEILING(($I$1 -20 - 4- 48- ($J$6 - 1) * 24 - 14) * (1 - $I$6/100), 1) - 4) / (MAX(1 * 3 + 4 + 2, ( 3 *1+ 1 * $K$6+ 3 * $L$6+ $M$6 )  )  + 2),1 ), 1 )/1024/1024</f>
        <v>3.90625E-2</v>
      </c>
      <c r="Q6" s="133">
        <f t="shared" si="1"/>
        <v>30000</v>
      </c>
      <c r="R6" s="163" t="s">
        <v>172</v>
      </c>
      <c r="S6" s="125"/>
      <c r="T6" s="125"/>
      <c r="U6" s="125"/>
      <c r="V6" s="131"/>
      <c r="W6" s="125"/>
      <c r="X6" s="125"/>
      <c r="Y6" s="125"/>
      <c r="Z6" s="125"/>
      <c r="AA6" s="125"/>
      <c r="AB6" s="125"/>
    </row>
    <row r="7" spans="2:28">
      <c r="B7" s="86"/>
      <c r="C7" s="110" t="s">
        <v>7</v>
      </c>
      <c r="D7" s="111">
        <v>3000</v>
      </c>
      <c r="E7" s="101" t="s">
        <v>125</v>
      </c>
      <c r="F7" s="112"/>
      <c r="H7" s="102" t="s">
        <v>5</v>
      </c>
      <c r="I7" s="102">
        <v>10</v>
      </c>
      <c r="J7" s="102">
        <v>1</v>
      </c>
      <c r="K7" s="102">
        <v>27</v>
      </c>
      <c r="L7" s="102">
        <v>0</v>
      </c>
      <c r="M7" s="102">
        <f>30+210</f>
        <v>240</v>
      </c>
      <c r="N7" s="163">
        <f t="shared" si="0"/>
        <v>270</v>
      </c>
      <c r="O7" s="106">
        <f>(D7*D8*0.01)</f>
        <v>150</v>
      </c>
      <c r="P7" s="107">
        <f xml:space="preserve"> $I$1 * CEILING( 1* $O$7/ FLOOR(1* ( CEILING(($I$1 -20 - 4- 48- ($J$7 - 1) * 24 - 14) * (1 - $I$7/100), 1) - 4) / (MAX(1 * 3 + 4 + 2, ( 3 *1+ 1 * $K$7+ 3 * $L$7+ $M$7 )  )  + 2),1 ), 1 )/1024/1024</f>
        <v>4.6875E-2</v>
      </c>
      <c r="Q7" s="133">
        <f t="shared" si="1"/>
        <v>36000</v>
      </c>
      <c r="R7" s="163" t="s">
        <v>6</v>
      </c>
      <c r="S7" s="125"/>
      <c r="T7" s="125"/>
      <c r="U7" s="125"/>
      <c r="V7" s="131"/>
      <c r="W7" s="125"/>
      <c r="X7" s="125"/>
      <c r="Y7" s="125"/>
      <c r="Z7" s="125"/>
      <c r="AA7" s="125"/>
      <c r="AB7" s="125"/>
    </row>
    <row r="8" spans="2:28" ht="24">
      <c r="B8" s="86"/>
      <c r="C8" s="113" t="s">
        <v>178</v>
      </c>
      <c r="D8" s="114">
        <v>5</v>
      </c>
      <c r="E8" s="101" t="s">
        <v>160</v>
      </c>
      <c r="F8" s="112"/>
      <c r="H8" s="102" t="s">
        <v>8</v>
      </c>
      <c r="I8" s="102">
        <v>10</v>
      </c>
      <c r="J8" s="102">
        <v>1</v>
      </c>
      <c r="K8" s="102">
        <v>220</v>
      </c>
      <c r="L8" s="102">
        <v>0</v>
      </c>
      <c r="M8" s="102">
        <f>30+1753</f>
        <v>1783</v>
      </c>
      <c r="N8" s="163">
        <f t="shared" si="0"/>
        <v>2006</v>
      </c>
      <c r="O8" s="106">
        <f>((D7*(D13+1))*IF(D14 = 1,2,1)+(D7*D8*0.01))*D5+IF(D15 = 1,D7,0)+IF(D15 = 1,D7*D8*0.01*(D5-1),0)</f>
        <v>21750</v>
      </c>
      <c r="P8" s="107">
        <f xml:space="preserve"> $I$1 * CEILING( 1* $O$8/ FLOOR(1* ( CEILING(($I$1 -20 - 4- 48- ($J$8 - 1) * 24 - 14) * (1 - $I$8/100), 1) - 4) / (MAX(1 * 3 + 4 + 2, ( 3 *1+ 1 * $K$8+ 3 * $L$8+ $M$8 )  )  + 2),1 ), 1 )/1024/1024</f>
        <v>56.640625</v>
      </c>
      <c r="Q8" s="133">
        <f t="shared" si="1"/>
        <v>38780250</v>
      </c>
      <c r="R8" s="218" t="s">
        <v>9</v>
      </c>
      <c r="S8" s="125"/>
      <c r="T8" s="125"/>
      <c r="U8" s="125"/>
      <c r="V8" s="131"/>
      <c r="W8" s="125"/>
      <c r="X8" s="125"/>
      <c r="Y8" s="125"/>
      <c r="Z8" s="125"/>
      <c r="AA8" s="125"/>
      <c r="AB8" s="125"/>
    </row>
    <row r="9" spans="2:28">
      <c r="B9" s="86"/>
      <c r="C9" s="115" t="s">
        <v>10</v>
      </c>
      <c r="D9" s="111">
        <v>5</v>
      </c>
      <c r="E9" s="101"/>
      <c r="F9" s="112"/>
      <c r="H9" s="102" t="s">
        <v>173</v>
      </c>
      <c r="I9" s="102">
        <v>10</v>
      </c>
      <c r="J9" s="102">
        <v>1</v>
      </c>
      <c r="K9" s="102">
        <v>16</v>
      </c>
      <c r="L9" s="102">
        <v>0</v>
      </c>
      <c r="M9" s="102">
        <f>30+119</f>
        <v>149</v>
      </c>
      <c r="N9" s="163">
        <f t="shared" si="0"/>
        <v>168</v>
      </c>
      <c r="O9" s="106">
        <f>(D7*D8*0.01)</f>
        <v>150</v>
      </c>
      <c r="P9" s="107">
        <f xml:space="preserve"> $I$1 * CEILING( 1* $O$9/ FLOOR(1* ( CEILING(($I$1 -20 - 4- 48- ($J$9 - 1) * 24 - 14) * (1 - $I$9/100), 1) - 4) / (MAX(1 * 3 + 4 + 2, ( 3 *1+ 1 * $K$9+ 3 * $L$9+ $M$9 )  )  + 2),1 ), 1 )/1024/1024</f>
        <v>3.125E-2</v>
      </c>
      <c r="Q9" s="133">
        <f t="shared" si="1"/>
        <v>22350</v>
      </c>
      <c r="R9" s="163" t="s">
        <v>6</v>
      </c>
      <c r="S9" s="125"/>
      <c r="T9" s="125"/>
      <c r="U9" s="125"/>
      <c r="V9" s="131"/>
      <c r="W9" s="125"/>
      <c r="X9" s="125"/>
      <c r="Y9" s="125"/>
      <c r="Z9" s="125"/>
      <c r="AA9" s="125"/>
      <c r="AB9" s="125"/>
    </row>
    <row r="10" spans="2:28">
      <c r="B10" s="86"/>
      <c r="C10" s="115" t="s">
        <v>11</v>
      </c>
      <c r="D10" s="111">
        <v>500</v>
      </c>
      <c r="E10" s="101"/>
      <c r="F10" s="112"/>
      <c r="H10" s="102" t="s">
        <v>174</v>
      </c>
      <c r="I10" s="102">
        <v>10</v>
      </c>
      <c r="J10" s="102">
        <v>1</v>
      </c>
      <c r="K10" s="102">
        <v>20</v>
      </c>
      <c r="L10" s="102">
        <v>0</v>
      </c>
      <c r="M10" s="102">
        <f>30+165</f>
        <v>195</v>
      </c>
      <c r="N10" s="163">
        <f t="shared" si="0"/>
        <v>218</v>
      </c>
      <c r="O10" s="106">
        <f>(D7*D8*0.01)</f>
        <v>150</v>
      </c>
      <c r="P10" s="107">
        <f xml:space="preserve"> $I$1 * CEILING( 1* $O$10/ FLOOR(1* ( CEILING(($I$1 -20 - 4- 48- ($J$10 - 1) * 24 - 14) * (1 - $I$10/100), 1) - 4) / (MAX(1 * 3 + 4 + 2, ( 3 *1+ 1 * $K$10+ 3 * $L$10+ $M$10 )  )  + 2),1 ), 1 )/1024/1024</f>
        <v>3.90625E-2</v>
      </c>
      <c r="Q10" s="133">
        <f t="shared" si="1"/>
        <v>29250</v>
      </c>
      <c r="R10" s="163" t="s">
        <v>6</v>
      </c>
      <c r="S10" s="125"/>
      <c r="T10" s="125"/>
      <c r="U10" s="125"/>
      <c r="V10" s="131"/>
      <c r="W10" s="125"/>
      <c r="X10" s="125"/>
      <c r="Y10" s="125"/>
      <c r="Z10" s="125"/>
      <c r="AA10" s="125"/>
      <c r="AB10" s="125"/>
    </row>
    <row r="11" spans="2:28">
      <c r="B11" s="86"/>
      <c r="C11" s="115" t="s">
        <v>12</v>
      </c>
      <c r="D11" s="111">
        <v>2</v>
      </c>
      <c r="E11" s="101"/>
      <c r="F11" s="112"/>
      <c r="H11" s="102" t="s">
        <v>15</v>
      </c>
      <c r="I11" s="102">
        <v>10</v>
      </c>
      <c r="J11" s="102">
        <v>1</v>
      </c>
      <c r="K11" s="102">
        <v>152</v>
      </c>
      <c r="L11" s="102">
        <v>0</v>
      </c>
      <c r="M11" s="102">
        <f>30+1159</f>
        <v>1189</v>
      </c>
      <c r="N11" s="163">
        <f t="shared" si="0"/>
        <v>1344</v>
      </c>
      <c r="O11" s="106">
        <f>D7+(D7*D8*0.01*(D5-1))</f>
        <v>3300</v>
      </c>
      <c r="P11" s="107">
        <f xml:space="preserve"> $I$1 * CEILING( 1* $O$11/ FLOOR(1* ( CEILING(($I$1 -20 - 4- 48- ($J$11 - 1) * 24 - 14) * (1 - $I$11/100), 1) - 4) / (MAX(1 * 3 + 4 + 2, ( 3 *1+ 1 * $K$11+ 3 * $L$11+ $M$11 )  )  + 2),1 ), 1 )/1024/1024</f>
        <v>5.15625</v>
      </c>
      <c r="Q11" s="133">
        <f t="shared" si="1"/>
        <v>3923700</v>
      </c>
      <c r="R11" s="163" t="s">
        <v>175</v>
      </c>
      <c r="S11" s="125"/>
      <c r="T11" s="125"/>
      <c r="U11" s="125"/>
      <c r="V11" s="131"/>
      <c r="W11" s="125"/>
      <c r="X11" s="125"/>
      <c r="Y11" s="125"/>
      <c r="Z11" s="125"/>
      <c r="AA11" s="125"/>
      <c r="AB11" s="125"/>
    </row>
    <row r="12" spans="2:28">
      <c r="B12" s="86"/>
      <c r="C12" s="115" t="s">
        <v>201</v>
      </c>
      <c r="D12" s="111">
        <v>10</v>
      </c>
      <c r="E12" s="101"/>
      <c r="F12" s="112"/>
      <c r="H12" s="102" t="s">
        <v>17</v>
      </c>
      <c r="I12" s="102">
        <v>10</v>
      </c>
      <c r="J12" s="102">
        <v>1</v>
      </c>
      <c r="K12" s="102">
        <v>205</v>
      </c>
      <c r="L12" s="102">
        <v>0</v>
      </c>
      <c r="M12" s="102">
        <f>30+2094</f>
        <v>2124</v>
      </c>
      <c r="N12" s="163">
        <f t="shared" si="0"/>
        <v>2332</v>
      </c>
      <c r="O12" s="106">
        <f>D7+(D7*D8*0.01*(D5-1))</f>
        <v>3300</v>
      </c>
      <c r="P12" s="107">
        <f xml:space="preserve"> $I$1 * CEILING( 1* $O$12/ FLOOR(1* ( CEILING(($I$1 -20 - 4- 48- ($J$12 - 1) * 24 - 14) * (1 - $I$12/100), 1) - 4) / (MAX(1 * 3 + 4 + 2, ( 3 *1+ 1 * $K$12+ 3 * $L$12+ $M$12 )  )  + 2),1 ), 1 )/1024/1024</f>
        <v>8.59375</v>
      </c>
      <c r="Q12" s="133">
        <f t="shared" si="1"/>
        <v>7009200</v>
      </c>
      <c r="R12" s="163" t="s">
        <v>175</v>
      </c>
      <c r="S12" s="125"/>
      <c r="T12" s="125"/>
      <c r="U12" s="125"/>
      <c r="V12" s="131"/>
      <c r="W12" s="125"/>
      <c r="X12" s="125"/>
      <c r="Y12" s="125"/>
      <c r="Z12" s="125"/>
      <c r="AA12" s="125"/>
      <c r="AB12" s="125"/>
    </row>
    <row r="13" spans="2:28">
      <c r="B13" s="86"/>
      <c r="C13" s="115" t="s">
        <v>13</v>
      </c>
      <c r="D13" s="111">
        <v>1</v>
      </c>
      <c r="E13" s="101" t="s">
        <v>14</v>
      </c>
      <c r="F13" s="112"/>
      <c r="H13" s="102" t="s">
        <v>19</v>
      </c>
      <c r="I13" s="102">
        <v>10</v>
      </c>
      <c r="J13" s="102">
        <v>1</v>
      </c>
      <c r="K13" s="102">
        <v>33</v>
      </c>
      <c r="L13" s="102">
        <v>0</v>
      </c>
      <c r="M13" s="102">
        <f>30+292</f>
        <v>322</v>
      </c>
      <c r="N13" s="163">
        <f t="shared" si="0"/>
        <v>358</v>
      </c>
      <c r="O13" s="106">
        <f>D7*D12</f>
        <v>30000</v>
      </c>
      <c r="P13" s="107">
        <f xml:space="preserve"> $I$1 * CEILING( 1* $O$13/ FLOOR(1* ( CEILING(($I$1 -20 - 4- 48- ($J$13 - 1) * 24 - 14) * (1 - $I$13/100), 1) - 4) / (MAX(1 * 3 + 4 + 2, ( 3 *1+ 1 * $K$13+ 3 * $L$13+ $M$13 )  )  + 2),1 ), 1 )/1024/1024</f>
        <v>11.71875</v>
      </c>
      <c r="Q13" s="133">
        <f t="shared" si="1"/>
        <v>9660000</v>
      </c>
      <c r="R13" s="163" t="s">
        <v>200</v>
      </c>
      <c r="S13" s="125"/>
      <c r="T13" s="125"/>
      <c r="U13" s="125"/>
      <c r="V13" s="131"/>
      <c r="W13" s="125"/>
      <c r="X13" s="125"/>
      <c r="Y13" s="125"/>
      <c r="Z13" s="125"/>
      <c r="AA13" s="125"/>
      <c r="AB13" s="125"/>
    </row>
    <row r="14" spans="2:28">
      <c r="B14" s="86"/>
      <c r="C14" s="115" t="s">
        <v>16</v>
      </c>
      <c r="D14" s="111">
        <v>0</v>
      </c>
      <c r="E14" s="101"/>
      <c r="F14" s="112"/>
      <c r="H14" s="219"/>
      <c r="I14" s="219"/>
      <c r="J14" s="219"/>
      <c r="K14" s="220">
        <f>AVERAGE(K5:K13)</f>
        <v>80.333333333333329</v>
      </c>
      <c r="L14" s="221"/>
      <c r="M14" s="220"/>
      <c r="N14" s="222"/>
      <c r="O14" s="223">
        <f>SUM(O5:O13)</f>
        <v>59100</v>
      </c>
      <c r="P14" s="224">
        <f>SUM(P5:P13)</f>
        <v>82.328125</v>
      </c>
      <c r="Q14" s="133">
        <f>SUM(Q5:Q13)</f>
        <v>59539800</v>
      </c>
      <c r="S14" s="125"/>
      <c r="T14" s="125"/>
      <c r="U14" s="125"/>
      <c r="V14" s="131"/>
      <c r="W14" s="125"/>
      <c r="X14" s="125"/>
      <c r="Y14" s="125"/>
      <c r="Z14" s="125"/>
      <c r="AA14" s="125"/>
      <c r="AB14" s="125"/>
    </row>
    <row r="15" spans="2:28">
      <c r="B15" s="86"/>
      <c r="C15" s="115" t="s">
        <v>18</v>
      </c>
      <c r="D15" s="119">
        <v>1</v>
      </c>
      <c r="E15" s="101"/>
      <c r="F15" s="112"/>
      <c r="H15" s="131"/>
      <c r="I15" s="131"/>
      <c r="J15" s="131"/>
      <c r="K15" s="131"/>
      <c r="L15" s="131"/>
      <c r="M15" s="131"/>
      <c r="N15" s="125"/>
      <c r="O15" s="132"/>
      <c r="P15" s="133"/>
      <c r="Q15" s="225">
        <f>Q14/O14</f>
        <v>1007.4416243654822</v>
      </c>
      <c r="S15" s="125"/>
      <c r="T15" s="125"/>
      <c r="U15" s="125"/>
      <c r="V15" s="131"/>
      <c r="W15" s="125"/>
      <c r="X15" s="125"/>
      <c r="Y15" s="125"/>
      <c r="Z15" s="125"/>
      <c r="AA15" s="125"/>
      <c r="AB15" s="125"/>
    </row>
    <row r="16" spans="2:28">
      <c r="B16" s="86"/>
      <c r="C16" s="101"/>
      <c r="D16" s="226"/>
      <c r="E16" s="101"/>
      <c r="F16" s="112"/>
      <c r="H16" s="131"/>
      <c r="I16" s="131"/>
      <c r="J16" s="131"/>
      <c r="K16" s="131"/>
      <c r="L16" s="131"/>
      <c r="M16" s="131"/>
      <c r="N16" s="125"/>
      <c r="O16" s="132"/>
      <c r="P16" s="133"/>
      <c r="Q16" s="133"/>
      <c r="S16" s="125"/>
      <c r="T16" s="125"/>
      <c r="U16" s="125"/>
      <c r="V16" s="131"/>
      <c r="W16" s="125"/>
      <c r="X16" s="125"/>
      <c r="Y16" s="125"/>
      <c r="Z16" s="125"/>
      <c r="AA16" s="125"/>
      <c r="AB16" s="125"/>
    </row>
    <row r="17" spans="2:34">
      <c r="B17" s="86"/>
      <c r="C17" s="125"/>
      <c r="D17" s="227"/>
      <c r="E17" s="101"/>
      <c r="F17" s="89"/>
      <c r="H17" s="131"/>
      <c r="I17" s="131"/>
      <c r="J17" s="131"/>
      <c r="K17" s="131"/>
      <c r="L17" s="131"/>
      <c r="M17" s="131"/>
      <c r="N17" s="125"/>
      <c r="O17" s="132"/>
      <c r="P17" s="133"/>
      <c r="Q17" s="133"/>
      <c r="S17" s="125"/>
      <c r="T17" s="125"/>
      <c r="U17" s="125"/>
      <c r="V17" s="131"/>
      <c r="W17" s="125"/>
      <c r="X17" s="125"/>
      <c r="Y17" s="125"/>
      <c r="Z17" s="125"/>
      <c r="AA17" s="125"/>
      <c r="AB17" s="125"/>
    </row>
    <row r="18" spans="2:34">
      <c r="B18" s="86"/>
      <c r="C18" s="87"/>
      <c r="D18" s="228"/>
      <c r="E18" s="87"/>
      <c r="F18" s="89"/>
      <c r="H18" s="131"/>
      <c r="I18" s="131"/>
      <c r="J18" s="131"/>
      <c r="K18" s="131"/>
      <c r="L18" s="131"/>
      <c r="M18" s="131"/>
      <c r="N18" s="125"/>
      <c r="O18" s="132"/>
      <c r="P18" s="133"/>
      <c r="Q18" s="133"/>
      <c r="S18" s="125"/>
      <c r="T18" s="125"/>
      <c r="U18" s="125"/>
      <c r="V18" s="131"/>
      <c r="W18" s="125"/>
      <c r="X18" s="125"/>
      <c r="Y18" s="125"/>
      <c r="Z18" s="125"/>
      <c r="AA18" s="125"/>
      <c r="AB18" s="125"/>
    </row>
    <row r="19" spans="2:34">
      <c r="B19" s="86"/>
      <c r="C19" s="87"/>
      <c r="D19" s="228"/>
      <c r="E19" s="87"/>
      <c r="F19" s="89"/>
      <c r="H19" s="131"/>
      <c r="I19" s="131"/>
      <c r="J19" s="131"/>
      <c r="K19" s="131"/>
      <c r="L19" s="131"/>
      <c r="M19" s="131"/>
      <c r="N19" s="125"/>
      <c r="O19" s="132"/>
      <c r="P19" s="133"/>
      <c r="Q19" s="133"/>
      <c r="S19" s="125"/>
      <c r="T19" s="125"/>
      <c r="U19" s="125"/>
      <c r="V19" s="131"/>
      <c r="W19" s="125"/>
      <c r="X19" s="125"/>
      <c r="Y19" s="125"/>
      <c r="Z19" s="125"/>
      <c r="AA19" s="125"/>
      <c r="AB19" s="125"/>
    </row>
    <row r="20" spans="2:34">
      <c r="B20" s="86"/>
      <c r="C20" s="87"/>
      <c r="D20" s="228"/>
      <c r="E20" s="87"/>
      <c r="F20" s="89"/>
      <c r="H20" s="134" t="s">
        <v>176</v>
      </c>
      <c r="I20" s="102">
        <v>10</v>
      </c>
      <c r="J20" s="102">
        <v>1</v>
      </c>
      <c r="K20" s="102">
        <v>14</v>
      </c>
      <c r="L20" s="102">
        <v>1</v>
      </c>
      <c r="M20" s="102">
        <v>331</v>
      </c>
      <c r="N20" s="163">
        <f>3+1*K20+3*L20+M20</f>
        <v>351</v>
      </c>
      <c r="O20" s="106">
        <f>N41</f>
        <v>82500</v>
      </c>
      <c r="P20" s="107">
        <f xml:space="preserve"> $I$1 * CEILING( 1* $O$20/ FLOOR(1* ( CEILING(($I$1 -20 - 4- 48- ($J$20 - 1) * 24 - 14) * (1 - $I$20/100), 1) - 4) / (MAX(1 * 3 + 4 + 2, ( 3 *1+ 1 * $K$20+ 3 * $L$20+ $M$20 )  )  + 2),1 ), 1 )/1024/1024</f>
        <v>32.2265625</v>
      </c>
      <c r="Q20" s="133">
        <f>N20*O20</f>
        <v>28957500</v>
      </c>
      <c r="S20" s="125"/>
      <c r="T20" s="125"/>
      <c r="U20" s="125"/>
      <c r="V20" s="131"/>
      <c r="W20" s="125"/>
      <c r="X20" s="125"/>
      <c r="Y20" s="125"/>
      <c r="Z20" s="125"/>
      <c r="AA20" s="125"/>
      <c r="AB20" s="125"/>
    </row>
    <row r="21" spans="2:34">
      <c r="B21" s="120"/>
      <c r="C21" s="101"/>
      <c r="F21" s="122"/>
      <c r="H21" s="134" t="s">
        <v>177</v>
      </c>
      <c r="I21" s="102">
        <v>10</v>
      </c>
      <c r="J21" s="102">
        <v>1</v>
      </c>
      <c r="K21" s="104">
        <f>K14</f>
        <v>80.333333333333329</v>
      </c>
      <c r="L21" s="102">
        <v>0</v>
      </c>
      <c r="M21" s="117">
        <f>Q15</f>
        <v>1007.4416243654822</v>
      </c>
      <c r="N21" s="118">
        <f>3+1*K21+3*L21+M21</f>
        <v>1090.7749576988156</v>
      </c>
      <c r="O21" s="106">
        <f>N44</f>
        <v>141450</v>
      </c>
      <c r="P21" s="107">
        <f xml:space="preserve"> $I$1 * CEILING( 1* $O$21/ FLOOR(1* ( CEILING(($I$1 -20 - 4- 48- ($J$21 - 1) * 24 - 14) * (1 - $I$21/100), 1) - 4) / (MAX(1 * 3 + 4 + 2, ( 3 *1+ 1 * $K$21+ 3 * $L$21+ $M$21 )  )  + 2),1 ), 1 )/1024/1024</f>
        <v>184.1796875</v>
      </c>
      <c r="Q21" s="133">
        <f>N21*O21</f>
        <v>154290117.76649746</v>
      </c>
      <c r="S21" s="125"/>
      <c r="T21" s="125"/>
      <c r="U21" s="125"/>
      <c r="V21" s="131"/>
      <c r="W21" s="125"/>
      <c r="X21" s="125"/>
      <c r="Y21" s="125"/>
      <c r="Z21" s="125"/>
      <c r="AA21" s="125"/>
      <c r="AB21" s="125"/>
    </row>
    <row r="22" spans="2:34">
      <c r="B22" s="86"/>
      <c r="C22" s="101" t="s">
        <v>109</v>
      </c>
      <c r="D22" s="87"/>
      <c r="E22" s="87"/>
      <c r="F22" s="89"/>
      <c r="H22" s="131"/>
      <c r="I22" s="131"/>
      <c r="J22" s="131"/>
      <c r="K22" s="131"/>
      <c r="L22" s="131"/>
      <c r="M22" s="131"/>
      <c r="N22" s="125"/>
      <c r="O22" s="325" t="s">
        <v>600</v>
      </c>
      <c r="P22" s="303">
        <f>SUM(P5:P13)+SUM(P20:P21)</f>
        <v>298.734375</v>
      </c>
      <c r="Q22" s="133"/>
      <c r="S22" s="125"/>
      <c r="T22" s="125"/>
      <c r="U22" s="125"/>
      <c r="V22" s="131"/>
      <c r="W22" s="125"/>
      <c r="X22" s="125"/>
      <c r="Y22" s="125"/>
      <c r="Z22" s="125"/>
      <c r="AA22" s="125"/>
      <c r="AB22" s="125"/>
    </row>
    <row r="23" spans="2:34">
      <c r="B23" s="86"/>
      <c r="C23" s="126" t="s">
        <v>108</v>
      </c>
      <c r="D23" s="87"/>
      <c r="E23" s="87"/>
      <c r="F23" s="89"/>
      <c r="H23" s="131"/>
      <c r="I23" s="131"/>
      <c r="J23" s="131"/>
      <c r="K23" s="131"/>
      <c r="L23" s="131"/>
      <c r="M23" s="131"/>
      <c r="N23" s="125"/>
      <c r="O23" s="132"/>
      <c r="P23" s="132"/>
      <c r="Q23" s="132"/>
      <c r="R23" s="132"/>
      <c r="S23" s="132"/>
      <c r="T23" s="132"/>
      <c r="U23" s="132"/>
      <c r="V23" s="132"/>
      <c r="W23" s="132"/>
      <c r="X23" s="132"/>
      <c r="Y23" s="132"/>
      <c r="Z23" s="132"/>
      <c r="AA23" s="132"/>
      <c r="AB23" s="125"/>
    </row>
    <row r="24" spans="2:34" ht="14.25" thickBot="1">
      <c r="B24" s="127"/>
      <c r="C24" s="128"/>
      <c r="D24" s="129"/>
      <c r="E24" s="129"/>
      <c r="F24" s="130"/>
      <c r="P24" s="135"/>
      <c r="Q24" s="135"/>
      <c r="R24" s="135"/>
      <c r="S24" s="135"/>
      <c r="T24" s="135"/>
      <c r="U24" s="135"/>
      <c r="V24" s="135"/>
      <c r="W24" s="135"/>
      <c r="X24" s="135"/>
      <c r="Y24" s="135"/>
      <c r="Z24" s="135"/>
      <c r="AA24" s="135"/>
    </row>
    <row r="25" spans="2:34" hidden="1">
      <c r="P25" s="135"/>
      <c r="Q25" s="135"/>
      <c r="R25" s="135"/>
      <c r="S25" s="135"/>
      <c r="T25" s="135"/>
      <c r="U25" s="135"/>
      <c r="V25" s="135"/>
      <c r="W25" s="135"/>
      <c r="X25" s="135"/>
      <c r="Y25" s="135"/>
      <c r="Z25" s="135"/>
      <c r="AA25" s="135"/>
    </row>
    <row r="26" spans="2:34" hidden="1">
      <c r="P26" s="135"/>
      <c r="Q26" s="135"/>
      <c r="R26" s="135"/>
      <c r="S26" s="135"/>
      <c r="T26" s="135"/>
      <c r="U26" s="135"/>
      <c r="V26" s="135"/>
      <c r="W26" s="135"/>
      <c r="X26" s="135"/>
      <c r="Y26" s="135"/>
      <c r="Z26" s="135"/>
      <c r="AA26" s="135"/>
      <c r="AB26" s="98"/>
      <c r="AC26" s="98"/>
      <c r="AD26" s="98"/>
      <c r="AE26" s="98"/>
      <c r="AF26" s="98"/>
      <c r="AG26" s="98"/>
      <c r="AH26" s="98"/>
    </row>
    <row r="27" spans="2:34" hidden="1">
      <c r="P27" s="135"/>
      <c r="Q27" s="135"/>
      <c r="R27" s="135"/>
      <c r="S27" s="135"/>
      <c r="T27" s="135"/>
      <c r="U27" s="135"/>
      <c r="V27" s="135"/>
      <c r="W27" s="135"/>
      <c r="X27" s="135"/>
      <c r="Y27" s="135"/>
      <c r="Z27" s="135"/>
      <c r="AA27" s="135"/>
      <c r="AB27" s="98"/>
      <c r="AC27" s="98"/>
      <c r="AD27" s="98"/>
      <c r="AE27" s="98"/>
      <c r="AF27" s="98"/>
      <c r="AG27" s="98"/>
      <c r="AH27" s="98"/>
    </row>
    <row r="28" spans="2:34" s="98" customFormat="1" hidden="1">
      <c r="G28" s="75"/>
      <c r="H28" s="85"/>
      <c r="I28" s="85"/>
      <c r="J28" s="85"/>
      <c r="K28" s="85"/>
      <c r="L28" s="85"/>
      <c r="M28" s="85"/>
      <c r="N28" s="75"/>
      <c r="O28" s="135"/>
      <c r="P28" s="135"/>
      <c r="Q28" s="135"/>
      <c r="R28" s="135"/>
      <c r="S28" s="135"/>
      <c r="T28" s="135"/>
      <c r="U28" s="135"/>
      <c r="V28" s="135"/>
      <c r="W28" s="135"/>
      <c r="X28" s="135"/>
      <c r="Y28" s="135"/>
      <c r="Z28" s="135"/>
      <c r="AA28" s="135"/>
    </row>
    <row r="29" spans="2:34" s="98" customFormat="1" ht="11.25" hidden="1">
      <c r="C29" s="159" t="s">
        <v>32</v>
      </c>
      <c r="D29" s="160">
        <v>1</v>
      </c>
      <c r="H29" s="164"/>
      <c r="I29" s="164"/>
      <c r="J29" s="164"/>
      <c r="K29" s="164"/>
      <c r="L29" s="164"/>
      <c r="M29" s="164"/>
      <c r="O29" s="229"/>
      <c r="P29" s="230"/>
      <c r="Q29" s="230"/>
    </row>
    <row r="30" spans="2:34" s="98" customFormat="1" hidden="1">
      <c r="C30" s="231" t="s">
        <v>33</v>
      </c>
      <c r="D30" s="160">
        <v>2</v>
      </c>
      <c r="H30" s="232" t="s">
        <v>31</v>
      </c>
      <c r="I30" s="164"/>
      <c r="J30" s="164"/>
      <c r="K30" s="164"/>
      <c r="L30" s="164"/>
      <c r="M30" s="164"/>
      <c r="N30" s="164"/>
      <c r="O30" s="229"/>
      <c r="P30" s="230"/>
      <c r="Q30" s="230"/>
    </row>
    <row r="31" spans="2:34" s="98" customFormat="1" ht="11.25" hidden="1">
      <c r="C31" s="231" t="s">
        <v>37</v>
      </c>
      <c r="D31" s="160">
        <v>1</v>
      </c>
      <c r="H31" s="233"/>
      <c r="I31" s="234"/>
      <c r="J31" s="234"/>
      <c r="K31" s="149" t="s">
        <v>34</v>
      </c>
      <c r="L31" s="149" t="s">
        <v>35</v>
      </c>
      <c r="M31" s="149" t="s">
        <v>36</v>
      </c>
      <c r="N31" s="233"/>
      <c r="O31" s="229"/>
      <c r="P31" s="230"/>
      <c r="Q31" s="230"/>
    </row>
    <row r="32" spans="2:34" s="98" customFormat="1" ht="11.25" hidden="1">
      <c r="H32" s="233" t="s">
        <v>20</v>
      </c>
      <c r="I32" s="234"/>
      <c r="J32" s="234"/>
      <c r="K32" s="235">
        <v>0</v>
      </c>
      <c r="L32" s="234">
        <v>0</v>
      </c>
      <c r="M32" s="234">
        <v>0</v>
      </c>
      <c r="N32" s="233"/>
      <c r="O32" s="229"/>
      <c r="P32" s="230"/>
      <c r="Q32" s="230"/>
    </row>
    <row r="33" spans="8:17" s="98" customFormat="1" ht="11.25" hidden="1">
      <c r="H33" s="233" t="s">
        <v>21</v>
      </c>
      <c r="I33" s="234"/>
      <c r="J33" s="234"/>
      <c r="K33" s="234">
        <v>0</v>
      </c>
      <c r="L33" s="236">
        <f>((D7*D8*0.01)+(D7*D8*0.01))*D30*D5</f>
        <v>1800</v>
      </c>
      <c r="M33" s="234">
        <v>0</v>
      </c>
      <c r="N33" s="233"/>
      <c r="O33" s="229"/>
      <c r="P33" s="230"/>
      <c r="Q33" s="230"/>
    </row>
    <row r="34" spans="8:17" s="98" customFormat="1" ht="11.25" hidden="1">
      <c r="H34" s="233" t="s">
        <v>22</v>
      </c>
      <c r="I34" s="234"/>
      <c r="J34" s="234"/>
      <c r="K34" s="234">
        <f>IF(D15 = 1,D7,0)+IF(D15 = 1,D7*D8*0.01*(D5-1),0)</f>
        <v>3300</v>
      </c>
      <c r="L34" s="234">
        <v>0</v>
      </c>
      <c r="M34" s="234">
        <v>0</v>
      </c>
      <c r="N34" s="233"/>
      <c r="O34" s="229"/>
      <c r="P34" s="230"/>
      <c r="Q34" s="230"/>
    </row>
    <row r="35" spans="8:17" s="98" customFormat="1" ht="11.25" hidden="1">
      <c r="H35" s="233" t="s">
        <v>23</v>
      </c>
      <c r="I35" s="234"/>
      <c r="J35" s="234"/>
      <c r="K35" s="234">
        <f>IF(D14=1,(D7*(D13+1))*D5,0)</f>
        <v>0</v>
      </c>
      <c r="L35" s="234">
        <f>IF(D14=1,D7*D13*D30*D5,0)</f>
        <v>0</v>
      </c>
      <c r="M35" s="234">
        <v>0</v>
      </c>
      <c r="N35" s="233"/>
      <c r="O35" s="229"/>
      <c r="P35" s="230"/>
      <c r="Q35" s="230"/>
    </row>
    <row r="36" spans="8:17" s="98" customFormat="1" ht="11.25" hidden="1">
      <c r="H36" s="233" t="s">
        <v>24</v>
      </c>
      <c r="I36" s="234"/>
      <c r="J36" s="234"/>
      <c r="K36" s="236">
        <f>(D7*(D13+1))*D5</f>
        <v>18000</v>
      </c>
      <c r="L36" s="237">
        <f>((D7*D13+D7)*D30+(D7*D30))*D5</f>
        <v>54000</v>
      </c>
      <c r="M36" s="234">
        <v>0</v>
      </c>
      <c r="N36" s="233"/>
      <c r="O36" s="229"/>
      <c r="P36" s="230"/>
      <c r="Q36" s="230"/>
    </row>
    <row r="37" spans="8:17" s="98" customFormat="1" ht="11.25" hidden="1">
      <c r="H37" s="234" t="s">
        <v>25</v>
      </c>
      <c r="I37" s="234"/>
      <c r="J37" s="234"/>
      <c r="K37" s="236">
        <f>(D7*D8*0.01)*D5</f>
        <v>450</v>
      </c>
      <c r="L37" s="236">
        <f>(((D7*D8*0.01*(D13+1)))*D30+(D7*D8*0.01))*D5</f>
        <v>2250</v>
      </c>
      <c r="M37" s="234">
        <v>0</v>
      </c>
      <c r="N37" s="233"/>
      <c r="O37" s="229"/>
      <c r="P37" s="230"/>
      <c r="Q37" s="230"/>
    </row>
    <row r="38" spans="8:17" s="98" customFormat="1" ht="11.25" hidden="1">
      <c r="H38" s="234" t="s">
        <v>26</v>
      </c>
      <c r="I38" s="234"/>
      <c r="J38" s="234"/>
      <c r="K38" s="236">
        <v>0</v>
      </c>
      <c r="L38" s="234">
        <v>0</v>
      </c>
      <c r="M38" s="234">
        <v>0</v>
      </c>
      <c r="N38" s="233"/>
      <c r="O38" s="229"/>
      <c r="P38" s="230"/>
      <c r="Q38" s="230"/>
    </row>
    <row r="39" spans="8:17" s="98" customFormat="1" ht="11.25" hidden="1">
      <c r="H39" s="234" t="s">
        <v>27</v>
      </c>
      <c r="I39" s="234"/>
      <c r="J39" s="234"/>
      <c r="K39" s="236">
        <f>(D7*D8*0.01)*D5</f>
        <v>450</v>
      </c>
      <c r="L39" s="236">
        <f>(D7*D8*0.01)*D30*D5</f>
        <v>900</v>
      </c>
      <c r="M39" s="234">
        <v>0</v>
      </c>
      <c r="N39" s="233"/>
      <c r="O39" s="229"/>
      <c r="P39" s="230"/>
      <c r="Q39" s="230"/>
    </row>
    <row r="40" spans="8:17" s="98" customFormat="1" ht="11.25" hidden="1">
      <c r="H40" s="234" t="s">
        <v>28</v>
      </c>
      <c r="I40" s="234"/>
      <c r="J40" s="234"/>
      <c r="K40" s="236">
        <f>((D7*D8*0.01)+(D7*D8*0.01)+(D7*D8*0.01))*D5</f>
        <v>1350</v>
      </c>
      <c r="L40" s="234">
        <v>0</v>
      </c>
      <c r="M40" s="234">
        <v>0</v>
      </c>
      <c r="N40" s="233"/>
      <c r="O40" s="229"/>
      <c r="P40" s="230"/>
      <c r="Q40" s="230"/>
    </row>
    <row r="41" spans="8:17" s="98" customFormat="1" ht="11.25" hidden="1">
      <c r="H41" s="234"/>
      <c r="I41" s="234"/>
      <c r="J41" s="234"/>
      <c r="K41" s="235">
        <f>SUM(K32:K40)</f>
        <v>23550</v>
      </c>
      <c r="L41" s="234">
        <f>SUM(L32:L40)</f>
        <v>58950</v>
      </c>
      <c r="M41" s="234">
        <f>SUM(M32:M40)</f>
        <v>0</v>
      </c>
      <c r="N41" s="238">
        <f>SUM(K41:M41)</f>
        <v>82500</v>
      </c>
      <c r="O41" s="229"/>
      <c r="P41" s="230"/>
      <c r="Q41" s="230"/>
    </row>
    <row r="42" spans="8:17" s="98" customFormat="1" ht="11.25" hidden="1">
      <c r="H42" s="164"/>
      <c r="I42" s="164"/>
      <c r="J42" s="164"/>
      <c r="K42" s="164"/>
      <c r="L42" s="164"/>
      <c r="M42" s="164"/>
      <c r="O42" s="229"/>
      <c r="P42" s="230"/>
      <c r="Q42" s="230"/>
    </row>
    <row r="43" spans="8:17" s="98" customFormat="1" hidden="1">
      <c r="H43" s="232" t="s">
        <v>38</v>
      </c>
      <c r="I43" s="164"/>
      <c r="J43" s="164"/>
      <c r="K43" s="164"/>
      <c r="L43" s="164"/>
      <c r="M43" s="164"/>
      <c r="O43" s="229"/>
      <c r="P43" s="230"/>
      <c r="Q43" s="230"/>
    </row>
    <row r="44" spans="8:17" s="98" customFormat="1" ht="11.25" hidden="1">
      <c r="H44" s="234"/>
      <c r="I44" s="234"/>
      <c r="J44" s="234"/>
      <c r="K44" s="235">
        <f>K41</f>
        <v>23550</v>
      </c>
      <c r="L44" s="234">
        <f>L41*D30</f>
        <v>117900</v>
      </c>
      <c r="M44" s="234">
        <f>M41</f>
        <v>0</v>
      </c>
      <c r="N44" s="238">
        <f>SUM(K44:M44)</f>
        <v>141450</v>
      </c>
      <c r="O44" s="229"/>
      <c r="P44" s="230"/>
      <c r="Q44" s="230"/>
    </row>
    <row r="45" spans="8:17" s="98" customFormat="1" ht="11.25" hidden="1">
      <c r="H45" s="164"/>
      <c r="I45" s="164"/>
      <c r="J45" s="164"/>
      <c r="K45" s="164"/>
      <c r="L45" s="164"/>
      <c r="M45" s="164"/>
      <c r="O45" s="229"/>
      <c r="P45" s="230"/>
      <c r="Q45" s="230"/>
    </row>
    <row r="46" spans="8:17" s="98" customFormat="1" ht="11.25" hidden="1">
      <c r="H46" s="164"/>
      <c r="I46" s="164"/>
      <c r="J46" s="164"/>
      <c r="K46" s="164"/>
      <c r="L46" s="164"/>
      <c r="M46" s="164"/>
      <c r="O46" s="229"/>
      <c r="P46" s="230"/>
      <c r="Q46" s="230"/>
    </row>
    <row r="47" spans="8:17" s="98" customFormat="1" ht="11.25" hidden="1">
      <c r="H47" s="164"/>
      <c r="I47" s="164"/>
      <c r="J47" s="164"/>
      <c r="K47" s="164"/>
      <c r="L47" s="164"/>
      <c r="M47" s="164"/>
      <c r="O47" s="229"/>
      <c r="P47" s="230"/>
      <c r="Q47" s="230"/>
    </row>
    <row r="48" spans="8:17" s="98" customFormat="1" ht="11.25" hidden="1">
      <c r="H48" s="164"/>
      <c r="I48" s="164"/>
      <c r="J48" s="164"/>
      <c r="K48" s="164"/>
      <c r="L48" s="164"/>
      <c r="M48" s="164"/>
      <c r="O48" s="229"/>
      <c r="P48" s="230"/>
      <c r="Q48" s="230"/>
    </row>
    <row r="49" spans="7:34" s="98" customFormat="1" ht="11.25" hidden="1">
      <c r="H49" s="164"/>
      <c r="I49" s="164"/>
      <c r="J49" s="164"/>
      <c r="K49" s="164"/>
      <c r="L49" s="164"/>
      <c r="M49" s="164"/>
      <c r="O49" s="229"/>
      <c r="P49" s="230"/>
      <c r="Q49" s="230"/>
    </row>
    <row r="50" spans="7:34" s="98" customFormat="1" hidden="1">
      <c r="H50" s="164"/>
      <c r="I50" s="164"/>
      <c r="J50" s="164"/>
      <c r="K50" s="164"/>
      <c r="L50" s="164"/>
      <c r="M50" s="164"/>
      <c r="O50" s="229"/>
      <c r="P50" s="230"/>
      <c r="Q50" s="136"/>
      <c r="R50" s="125"/>
      <c r="S50" s="75"/>
      <c r="T50" s="75"/>
      <c r="U50" s="75"/>
      <c r="V50" s="75"/>
      <c r="W50" s="75"/>
      <c r="X50" s="75"/>
      <c r="Y50" s="75"/>
    </row>
    <row r="51" spans="7:34" s="98" customFormat="1" hidden="1">
      <c r="H51" s="164"/>
      <c r="I51" s="164"/>
      <c r="J51" s="164"/>
      <c r="K51" s="164"/>
      <c r="L51" s="164"/>
      <c r="M51" s="164"/>
      <c r="O51" s="229"/>
      <c r="P51" s="230"/>
      <c r="Q51" s="136"/>
      <c r="R51" s="125"/>
      <c r="S51" s="75"/>
      <c r="T51" s="75"/>
      <c r="U51" s="75"/>
      <c r="V51" s="75"/>
      <c r="W51" s="75"/>
      <c r="X51" s="75"/>
      <c r="Y51" s="75"/>
    </row>
    <row r="52" spans="7:34" s="98" customFormat="1" hidden="1">
      <c r="H52" s="164"/>
      <c r="I52" s="164"/>
      <c r="J52" s="164"/>
      <c r="K52" s="164"/>
      <c r="L52" s="164"/>
      <c r="M52" s="164"/>
      <c r="O52" s="229"/>
      <c r="P52" s="230"/>
      <c r="Q52" s="136"/>
      <c r="R52" s="125"/>
      <c r="S52" s="75"/>
      <c r="T52" s="75"/>
      <c r="U52" s="75"/>
      <c r="V52" s="75"/>
      <c r="W52" s="75"/>
      <c r="X52" s="75"/>
      <c r="Y52" s="75"/>
    </row>
    <row r="53" spans="7:34" s="98" customFormat="1" hidden="1">
      <c r="H53" s="164"/>
      <c r="I53" s="164"/>
      <c r="J53" s="164"/>
      <c r="K53" s="164"/>
      <c r="L53" s="164"/>
      <c r="M53" s="164"/>
      <c r="O53" s="229"/>
      <c r="P53" s="230"/>
      <c r="Q53" s="136"/>
      <c r="R53" s="125"/>
      <c r="S53" s="75"/>
      <c r="T53" s="75"/>
      <c r="U53" s="75"/>
      <c r="V53" s="75"/>
      <c r="W53" s="75"/>
      <c r="X53" s="75"/>
      <c r="Y53" s="75"/>
      <c r="Z53" s="75"/>
      <c r="AA53" s="75"/>
      <c r="AB53" s="75"/>
      <c r="AC53" s="75"/>
      <c r="AD53" s="75"/>
      <c r="AE53" s="75"/>
      <c r="AF53" s="75"/>
      <c r="AG53" s="75"/>
      <c r="AH53" s="75"/>
    </row>
    <row r="54" spans="7:34" s="98" customFormat="1">
      <c r="H54" s="164"/>
      <c r="I54" s="164"/>
      <c r="J54" s="164"/>
      <c r="K54" s="164"/>
      <c r="L54" s="164"/>
      <c r="M54" s="164"/>
      <c r="O54" s="229"/>
      <c r="P54" s="230"/>
      <c r="Q54" s="136"/>
      <c r="R54" s="125"/>
      <c r="S54" s="75"/>
      <c r="T54" s="75"/>
      <c r="U54" s="75"/>
      <c r="V54" s="75"/>
      <c r="W54" s="75"/>
      <c r="X54" s="75"/>
      <c r="Y54" s="75"/>
      <c r="Z54" s="75"/>
      <c r="AA54" s="75"/>
      <c r="AB54" s="75"/>
      <c r="AC54" s="75"/>
      <c r="AD54" s="75"/>
      <c r="AE54" s="75"/>
      <c r="AF54" s="75"/>
      <c r="AG54" s="75"/>
      <c r="AH54" s="75"/>
    </row>
    <row r="55" spans="7:34">
      <c r="G55" s="98"/>
      <c r="H55" s="164"/>
      <c r="I55" s="164"/>
      <c r="J55" s="164"/>
      <c r="K55" s="164"/>
      <c r="L55" s="164"/>
      <c r="M55" s="164"/>
      <c r="N55" s="98"/>
      <c r="O55" s="229"/>
      <c r="P55" s="230"/>
    </row>
    <row r="59" spans="7:34">
      <c r="Z59" s="125"/>
    </row>
    <row r="60" spans="7:34">
      <c r="Z60" s="125"/>
    </row>
    <row r="65" spans="27:30">
      <c r="AA65" s="125"/>
    </row>
    <row r="66" spans="27:30">
      <c r="AA66" s="125"/>
    </row>
    <row r="70" spans="27:30">
      <c r="AB70" s="125"/>
    </row>
    <row r="71" spans="27:30">
      <c r="AB71" s="125"/>
    </row>
    <row r="77" spans="27:30">
      <c r="AC77" s="125"/>
    </row>
    <row r="78" spans="27:30">
      <c r="AC78" s="125"/>
    </row>
    <row r="80" spans="27:30">
      <c r="AD80" s="125"/>
    </row>
    <row r="81" spans="30:30">
      <c r="AD81" s="125"/>
    </row>
    <row r="100" spans="31:36">
      <c r="AE100" s="125"/>
      <c r="AF100" s="125"/>
      <c r="AG100" s="125"/>
      <c r="AH100" s="125"/>
    </row>
    <row r="101" spans="31:36">
      <c r="AE101" s="125"/>
      <c r="AF101" s="125"/>
      <c r="AG101" s="125"/>
      <c r="AH101" s="125"/>
    </row>
    <row r="102" spans="31:36">
      <c r="AI102" s="125"/>
      <c r="AJ102" s="125"/>
    </row>
    <row r="103" spans="31:36">
      <c r="AI103" s="125"/>
      <c r="AJ103" s="125"/>
    </row>
    <row r="152" spans="7:36" s="125" customFormat="1">
      <c r="G152" s="75"/>
      <c r="H152" s="85"/>
      <c r="I152" s="85"/>
      <c r="J152" s="85"/>
      <c r="K152" s="85"/>
      <c r="L152" s="85"/>
      <c r="M152" s="85"/>
      <c r="N152" s="75"/>
      <c r="O152" s="135"/>
      <c r="P152" s="136"/>
      <c r="Q152" s="136"/>
      <c r="S152" s="75"/>
      <c r="T152" s="75"/>
      <c r="U152" s="75"/>
      <c r="V152" s="75"/>
      <c r="W152" s="75"/>
      <c r="X152" s="75"/>
      <c r="Y152" s="75"/>
      <c r="Z152" s="75"/>
      <c r="AA152" s="75"/>
      <c r="AB152" s="75"/>
      <c r="AC152" s="75"/>
      <c r="AD152" s="75"/>
      <c r="AE152" s="75"/>
      <c r="AF152" s="75"/>
      <c r="AG152" s="75"/>
      <c r="AH152" s="75"/>
      <c r="AI152" s="75"/>
      <c r="AJ152" s="75"/>
    </row>
    <row r="153" spans="7:36" s="125" customFormat="1">
      <c r="H153" s="85"/>
      <c r="I153" s="85"/>
      <c r="J153" s="85"/>
      <c r="K153" s="85"/>
      <c r="L153" s="85"/>
      <c r="M153" s="85"/>
      <c r="N153" s="75"/>
      <c r="O153" s="135"/>
      <c r="P153" s="136"/>
      <c r="Q153" s="136"/>
      <c r="S153" s="75"/>
      <c r="T153" s="75"/>
      <c r="U153" s="75"/>
      <c r="V153" s="75"/>
      <c r="W153" s="75"/>
      <c r="X153" s="75"/>
      <c r="Y153" s="75"/>
      <c r="Z153" s="75"/>
      <c r="AA153" s="75"/>
      <c r="AB153" s="75"/>
      <c r="AC153" s="75"/>
      <c r="AD153" s="75"/>
      <c r="AE153" s="75"/>
      <c r="AF153" s="75"/>
      <c r="AG153" s="75"/>
      <c r="AH153" s="75"/>
      <c r="AI153" s="75"/>
      <c r="AJ153" s="75"/>
    </row>
    <row r="154" spans="7:36">
      <c r="G154" s="125"/>
    </row>
  </sheetData>
  <mergeCells count="1">
    <mergeCell ref="C2:D2"/>
  </mergeCells>
  <phoneticPr fontId="3"/>
  <dataValidations count="3">
    <dataValidation type="whole" imeMode="off" operator="greaterThanOrEqual" allowBlank="1" showInputMessage="1" showErrorMessage="1" sqref="D16 D7 D9:D14" xr:uid="{00000000-0002-0000-0300-000000000000}">
      <formula1>0</formula1>
    </dataValidation>
    <dataValidation type="whole" allowBlank="1" showInputMessage="1" showErrorMessage="1" error="0 または 1 を指定してください。" sqref="D19" xr:uid="{00000000-0002-0000-0300-000001000000}">
      <formula1>0</formula1>
      <formula2>1</formula2>
    </dataValidation>
    <dataValidation type="decimal" imeMode="off" allowBlank="1" showInputMessage="1" showErrorMessage="1" error="0～100の間で指定してください。" sqref="D8" xr:uid="{00000000-0002-0000-0300-000002000000}">
      <formula1>0</formula1>
      <formula2>100</formula2>
    </dataValidation>
  </dataValidations>
  <pageMargins left="0.39370078740157483" right="0.39370078740157483" top="0.59055118110236227" bottom="0.59055118110236227" header="0.31496062992125984" footer="0.31496062992125984"/>
  <pageSetup paperSize="8" scale="90" orientation="landscape"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W46"/>
  <sheetViews>
    <sheetView showGridLines="0" workbookViewId="0"/>
  </sheetViews>
  <sheetFormatPr defaultRowHeight="13.5"/>
  <cols>
    <col min="1" max="1" width="3.25" style="177" customWidth="1"/>
    <col min="2" max="2" width="20.5" style="177" customWidth="1"/>
    <col min="3" max="3" width="3" style="177" customWidth="1"/>
    <col min="4" max="4" width="8" style="177" customWidth="1"/>
    <col min="5" max="5" width="5.75" style="177" customWidth="1"/>
    <col min="6" max="6" width="5.375" style="177" customWidth="1"/>
    <col min="7" max="7" width="80.5" style="177" customWidth="1"/>
    <col min="8" max="8" width="4.5" style="177" customWidth="1"/>
    <col min="9" max="9" width="9" style="177"/>
    <col min="10" max="10" width="9.875" style="177" bestFit="1" customWidth="1"/>
    <col min="11" max="11" width="14.75" style="177" bestFit="1" customWidth="1"/>
    <col min="12" max="12" width="11.5" style="177" bestFit="1" customWidth="1"/>
    <col min="13" max="18" width="7.125" style="177" customWidth="1"/>
    <col min="19" max="19" width="12.375" style="177" customWidth="1"/>
    <col min="20" max="16384" width="9" style="177"/>
  </cols>
  <sheetData>
    <row r="1" spans="1:13" ht="33">
      <c r="A1" s="109"/>
      <c r="B1" s="311" t="s">
        <v>588</v>
      </c>
      <c r="C1" s="109"/>
      <c r="D1" s="109"/>
      <c r="E1" s="109"/>
      <c r="F1" s="109"/>
      <c r="G1" s="109"/>
      <c r="H1" s="109"/>
      <c r="I1" s="109"/>
      <c r="J1" s="109"/>
      <c r="K1" s="109"/>
      <c r="L1" s="109"/>
      <c r="M1" s="109"/>
    </row>
    <row r="2" spans="1:13">
      <c r="D2" s="178"/>
      <c r="E2" s="178"/>
      <c r="F2" s="178"/>
    </row>
    <row r="3" spans="1:13" ht="20.100000000000001" customHeight="1">
      <c r="B3" s="179" t="s">
        <v>68</v>
      </c>
      <c r="C3" s="180"/>
      <c r="D3" s="181">
        <v>0.2</v>
      </c>
      <c r="E3" s="345"/>
      <c r="F3" s="182"/>
      <c r="G3" s="213" t="s">
        <v>551</v>
      </c>
    </row>
    <row r="4" spans="1:13" ht="33.75" customHeight="1">
      <c r="B4" s="183" t="s">
        <v>83</v>
      </c>
      <c r="C4" s="180"/>
      <c r="D4" s="181">
        <v>0.1</v>
      </c>
      <c r="E4" s="346"/>
      <c r="F4" s="184"/>
      <c r="G4" s="214" t="s">
        <v>69</v>
      </c>
    </row>
    <row r="5" spans="1:13" ht="30" customHeight="1">
      <c r="B5" s="185" t="s">
        <v>70</v>
      </c>
      <c r="C5" s="186"/>
      <c r="D5" s="181">
        <v>0.2</v>
      </c>
      <c r="E5" s="346"/>
      <c r="F5" s="184"/>
      <c r="G5" s="214" t="s">
        <v>537</v>
      </c>
    </row>
    <row r="6" spans="1:13" ht="19.5" customHeight="1">
      <c r="B6" s="185" t="s">
        <v>82</v>
      </c>
      <c r="C6" s="186"/>
      <c r="D6" s="181">
        <f>SUM(E7:E10)</f>
        <v>1.0010000000000001</v>
      </c>
      <c r="E6" s="341"/>
      <c r="F6" s="184"/>
      <c r="G6" s="215" t="s">
        <v>534</v>
      </c>
    </row>
    <row r="7" spans="1:13" ht="20.100000000000001" customHeight="1">
      <c r="B7" s="187" t="s">
        <v>202</v>
      </c>
      <c r="C7" s="188">
        <v>1</v>
      </c>
      <c r="D7" s="181">
        <f>IF(C7=1,人事給与共通!D5,0)</f>
        <v>0.40700000000000003</v>
      </c>
      <c r="E7" s="181">
        <f>IF(C7=1,I42,0)</f>
        <v>4.4000000000000004E-2</v>
      </c>
      <c r="F7" s="187" t="str">
        <f>IF(C7=1,人事給与共通!D6&amp;"年","")</f>
        <v>1年</v>
      </c>
      <c r="G7" s="347" t="s">
        <v>536</v>
      </c>
    </row>
    <row r="8" spans="1:13" ht="20.100000000000001" customHeight="1">
      <c r="B8" s="187" t="s">
        <v>203</v>
      </c>
      <c r="C8" s="188">
        <v>1</v>
      </c>
      <c r="D8" s="181">
        <f>IF(C8=1,退職金!D4,0)</f>
        <v>0.33</v>
      </c>
      <c r="E8" s="181">
        <f>IF(C8=1,I39,0)</f>
        <v>1.1000000000000001E-2</v>
      </c>
      <c r="F8" s="187" t="str">
        <f>IF(C8=1,退職金!D5&amp;"年","")</f>
        <v>3年</v>
      </c>
      <c r="G8" s="348"/>
    </row>
    <row r="9" spans="1:13" ht="20.100000000000001" customHeight="1">
      <c r="B9" s="187" t="s">
        <v>525</v>
      </c>
      <c r="C9" s="188">
        <v>1</v>
      </c>
      <c r="D9" s="181">
        <f>IF(C9=1,NXHR!D4,0)</f>
        <v>8.0850000000000009</v>
      </c>
      <c r="E9" s="181">
        <f>IF(C9=1,I45,0)</f>
        <v>0.17600000000000002</v>
      </c>
      <c r="F9" s="187" t="str">
        <f>IF(C9=1,ROUNDDOWN(NXHR!D5, 1)&amp;"年","")</f>
        <v>1年</v>
      </c>
      <c r="G9" s="348"/>
    </row>
    <row r="10" spans="1:13" ht="20.100000000000001" customHeight="1" thickBot="1">
      <c r="B10" s="187" t="s">
        <v>199</v>
      </c>
      <c r="C10" s="188">
        <v>1</v>
      </c>
      <c r="D10" s="181">
        <f>IF(C10=1,NXPR!D4,0)</f>
        <v>23.496000000000006</v>
      </c>
      <c r="E10" s="181">
        <f>IF(C10=1,I36,0)</f>
        <v>0.77</v>
      </c>
      <c r="F10" s="187" t="str">
        <f>IF(C10=1,ROUNDDOWN(NXPR!D5, 1)&amp;"年","")</f>
        <v>3年</v>
      </c>
      <c r="G10" s="349"/>
    </row>
    <row r="11" spans="1:13" ht="18.75" customHeight="1" thickBot="1">
      <c r="B11" s="189" t="s">
        <v>71</v>
      </c>
      <c r="C11" s="190"/>
      <c r="D11" s="194">
        <f>SUM(D3:D10)</f>
        <v>33.819000000000003</v>
      </c>
      <c r="E11" s="195" t="s">
        <v>77</v>
      </c>
      <c r="F11" s="187" t="s">
        <v>153</v>
      </c>
    </row>
    <row r="12" spans="1:13">
      <c r="C12" s="191" t="s">
        <v>78</v>
      </c>
    </row>
    <row r="13" spans="1:13">
      <c r="C13" s="196" t="s">
        <v>79</v>
      </c>
      <c r="F13" s="197"/>
    </row>
    <row r="15" spans="1:13">
      <c r="B15" s="177" t="s">
        <v>535</v>
      </c>
    </row>
    <row r="17" spans="2:7">
      <c r="B17" s="177" t="s">
        <v>72</v>
      </c>
    </row>
    <row r="18" spans="2:7">
      <c r="B18" s="177" t="s">
        <v>73</v>
      </c>
    </row>
    <row r="19" spans="2:7">
      <c r="B19" s="177" t="s">
        <v>74</v>
      </c>
    </row>
    <row r="20" spans="2:7">
      <c r="B20" s="177" t="s">
        <v>75</v>
      </c>
    </row>
    <row r="21" spans="2:7">
      <c r="B21" s="177" t="s">
        <v>76</v>
      </c>
    </row>
    <row r="23" spans="2:7">
      <c r="B23" s="192" t="s">
        <v>80</v>
      </c>
      <c r="C23" s="192"/>
      <c r="D23" s="192"/>
      <c r="E23" s="192"/>
      <c r="G23" s="192"/>
    </row>
    <row r="24" spans="2:7">
      <c r="B24" s="192"/>
      <c r="C24" s="192" t="s">
        <v>81</v>
      </c>
      <c r="D24" s="192"/>
      <c r="E24" s="192"/>
      <c r="G24" s="192"/>
    </row>
    <row r="25" spans="2:7">
      <c r="F25" s="192"/>
    </row>
    <row r="26" spans="2:7">
      <c r="F26" s="192"/>
    </row>
    <row r="27" spans="2:7">
      <c r="F27" s="192"/>
    </row>
    <row r="28" spans="2:7">
      <c r="F28" s="192"/>
    </row>
    <row r="34" spans="6:23" s="198" customFormat="1" ht="27.75" hidden="1" customHeight="1">
      <c r="F34" s="75"/>
      <c r="I34" s="199"/>
      <c r="J34" s="200" t="s">
        <v>41</v>
      </c>
      <c r="K34" s="200" t="s">
        <v>42</v>
      </c>
      <c r="L34" s="200" t="s">
        <v>58</v>
      </c>
      <c r="M34" s="201" t="s">
        <v>43</v>
      </c>
      <c r="N34" s="201" t="s">
        <v>59</v>
      </c>
      <c r="O34" s="201" t="s">
        <v>60</v>
      </c>
      <c r="P34" s="201" t="s">
        <v>44</v>
      </c>
      <c r="Q34" s="201" t="s">
        <v>45</v>
      </c>
      <c r="R34" s="201" t="s">
        <v>46</v>
      </c>
      <c r="S34" s="202" t="s">
        <v>47</v>
      </c>
      <c r="T34" s="203" t="s">
        <v>116</v>
      </c>
      <c r="U34" s="201" t="s">
        <v>48</v>
      </c>
      <c r="V34" s="204" t="s">
        <v>49</v>
      </c>
      <c r="W34" s="205"/>
    </row>
    <row r="35" spans="6:23" hidden="1">
      <c r="F35" s="85"/>
      <c r="I35" s="206" t="s">
        <v>3</v>
      </c>
      <c r="J35" s="166" t="s">
        <v>50</v>
      </c>
      <c r="K35" s="166" t="s">
        <v>52</v>
      </c>
      <c r="L35" s="166" t="s">
        <v>64</v>
      </c>
      <c r="M35" s="207" t="s">
        <v>51</v>
      </c>
      <c r="N35" s="166">
        <v>10</v>
      </c>
      <c r="O35" s="166">
        <v>2</v>
      </c>
      <c r="P35" s="166">
        <v>2</v>
      </c>
      <c r="Q35" s="166">
        <v>0</v>
      </c>
      <c r="R35" s="166">
        <v>7</v>
      </c>
      <c r="S35" s="208">
        <f>NXPR!O73</f>
        <v>14855656.5</v>
      </c>
      <c r="T35" s="209">
        <f xml:space="preserve"> NXPR!I$1 * CEILING( 1.05 *1* S35/ FLOOR(1* ( CEILING( ( NXPR!I$1 - 113 - O35 * 24 ) * (1 - N35 / 100), 1) ) / (2 + 6 + 1 * ( P35 + 0 ) + 2 * Q35 + ( MAX(1* 3 +4+2, ( 3 *1+ 1 * P35 + 2 * Q35 + R35 ) ) +2) ),1), 1)/1024/1024</f>
        <v>404.8671875</v>
      </c>
      <c r="U35" s="166"/>
      <c r="V35" s="209">
        <v>0</v>
      </c>
      <c r="W35" s="85"/>
    </row>
    <row r="36" spans="6:23" hidden="1">
      <c r="F36" s="75"/>
      <c r="I36" s="206">
        <f>ROUNDUP(T37/1000,2)*1.1</f>
        <v>0.77</v>
      </c>
      <c r="J36" s="166" t="s">
        <v>50</v>
      </c>
      <c r="K36" s="166" t="s">
        <v>53</v>
      </c>
      <c r="L36" s="166" t="s">
        <v>65</v>
      </c>
      <c r="M36" s="207" t="s">
        <v>51</v>
      </c>
      <c r="N36" s="166">
        <v>10</v>
      </c>
      <c r="O36" s="166">
        <v>2</v>
      </c>
      <c r="P36" s="166">
        <v>1</v>
      </c>
      <c r="Q36" s="166">
        <v>0</v>
      </c>
      <c r="R36" s="166">
        <v>6</v>
      </c>
      <c r="S36" s="208">
        <f>NXPR!O72</f>
        <v>12269806.5</v>
      </c>
      <c r="T36" s="209">
        <f xml:space="preserve"> NXPR!I$1 * CEILING( 1.05 *1* S36/ FLOOR(1* ( CEILING( ( NXPR!I$1 - 113 - O36 * 24 ) * (1 - N36 / 100), 1) ) / (2 + 6 + 1 * ( P36 + 0 ) + 2 * Q36 + ( MAX(1* 3 +4+2, ( 3 *1+ 1 * P36 + 2 * Q36 + R36 ) ) +2) ),1), 1)/1024/1024</f>
        <v>292.59375</v>
      </c>
      <c r="U36" s="166"/>
      <c r="V36" s="210">
        <v>0</v>
      </c>
      <c r="W36" s="75"/>
    </row>
    <row r="37" spans="6:23" hidden="1">
      <c r="I37" s="211"/>
      <c r="M37" s="211"/>
      <c r="T37" s="212">
        <f>SUM(T35:T36)</f>
        <v>697.4609375</v>
      </c>
    </row>
    <row r="38" spans="6:23" hidden="1">
      <c r="I38" s="206" t="s">
        <v>39</v>
      </c>
      <c r="J38" s="166" t="s">
        <v>50</v>
      </c>
      <c r="K38" s="166" t="s">
        <v>52</v>
      </c>
      <c r="L38" s="166" t="s">
        <v>64</v>
      </c>
      <c r="M38" s="207" t="s">
        <v>51</v>
      </c>
      <c r="N38" s="166">
        <v>10</v>
      </c>
      <c r="O38" s="166">
        <v>2</v>
      </c>
      <c r="P38" s="166">
        <v>2</v>
      </c>
      <c r="Q38" s="166">
        <v>0</v>
      </c>
      <c r="R38" s="166">
        <v>7</v>
      </c>
      <c r="S38" s="208">
        <f>退職金!O21</f>
        <v>141450</v>
      </c>
      <c r="T38" s="209">
        <f xml:space="preserve"> 退職金!I$1 * CEILING( 1.05 *1* S38/ FLOOR(1* ( CEILING( ( 退職金!I$1 - 113 - O38 * 24 ) * (1 - N38 / 100), 1) ) / (2 + 6 + 1 * ( P38 + 0 ) + 2 * Q38 + ( MAX(1* 3 +4+2, ( 3 *1+ 1 * P38 + 2 * Q38 + R38 ) ) +2) ),1), 1)/1024/1024</f>
        <v>3.859375</v>
      </c>
      <c r="U38" s="166"/>
      <c r="V38" s="209">
        <v>0</v>
      </c>
    </row>
    <row r="39" spans="6:23" hidden="1">
      <c r="I39" s="206">
        <f>ROUNDUP(T40/1000,2)*1.1</f>
        <v>1.1000000000000001E-2</v>
      </c>
      <c r="J39" s="166" t="s">
        <v>50</v>
      </c>
      <c r="K39" s="166" t="s">
        <v>53</v>
      </c>
      <c r="L39" s="166" t="s">
        <v>65</v>
      </c>
      <c r="M39" s="207" t="s">
        <v>51</v>
      </c>
      <c r="N39" s="166">
        <v>10</v>
      </c>
      <c r="O39" s="166">
        <v>2</v>
      </c>
      <c r="P39" s="166">
        <v>1</v>
      </c>
      <c r="Q39" s="166">
        <v>0</v>
      </c>
      <c r="R39" s="166">
        <v>6</v>
      </c>
      <c r="S39" s="208">
        <f>退職金!O20</f>
        <v>82500</v>
      </c>
      <c r="T39" s="209">
        <f xml:space="preserve"> 退職金!I$1 * CEILING( 1.05 *1* S39/ FLOOR(1* ( CEILING( ( 退職金!I$1 - 113 - O39 * 24 ) * (1 - N39 / 100), 1) ) / (2 + 6 + 1 * ( P39 + 0 ) + 2 * Q39 + ( MAX(1* 3 +4+2, ( 3 *1+ 1 * P39 + 2 * Q39 + R39 ) ) +2) ),1), 1)/1024/1024</f>
        <v>1.96875</v>
      </c>
      <c r="U39" s="166"/>
      <c r="V39" s="210">
        <v>0</v>
      </c>
    </row>
    <row r="40" spans="6:23" hidden="1">
      <c r="I40" s="211"/>
      <c r="M40" s="211"/>
      <c r="T40" s="212">
        <f>SUM(T38:T39)</f>
        <v>5.828125</v>
      </c>
    </row>
    <row r="41" spans="6:23" hidden="1">
      <c r="I41" s="206" t="s">
        <v>40</v>
      </c>
      <c r="J41" s="166" t="s">
        <v>50</v>
      </c>
      <c r="K41" s="166" t="s">
        <v>52</v>
      </c>
      <c r="L41" s="166" t="s">
        <v>64</v>
      </c>
      <c r="M41" s="207" t="s">
        <v>51</v>
      </c>
      <c r="N41" s="166">
        <v>10</v>
      </c>
      <c r="O41" s="166">
        <v>2</v>
      </c>
      <c r="P41" s="166">
        <v>2</v>
      </c>
      <c r="Q41" s="166">
        <v>0</v>
      </c>
      <c r="R41" s="166">
        <v>7</v>
      </c>
      <c r="S41" s="208">
        <f>人事給与共通!O32</f>
        <v>925833.35000000009</v>
      </c>
      <c r="T41" s="209">
        <f xml:space="preserve"> 人事給与共通!I$1 * CEILING( 1.05 *1* S41/ FLOOR(1* ( CEILING( ( 人事給与共通!I$1 - 113 - O41 * 24 ) * (1 - N41 / 100), 1) ) / (2 + 6 + 1 * ( P41 + 0 ) + 2 * Q41 + ( MAX(1* 3 +4+2, ( 3 *1+ 1 * P41 + 2 * Q41 + R41 ) ) +2) ),1), 1)/1024/1024</f>
        <v>25.234375</v>
      </c>
      <c r="U41" s="166"/>
      <c r="V41" s="209">
        <v>0</v>
      </c>
    </row>
    <row r="42" spans="6:23" hidden="1">
      <c r="I42" s="206">
        <f>ROUNDUP(T43/1000,2)*1.1</f>
        <v>4.4000000000000004E-2</v>
      </c>
      <c r="J42" s="166" t="s">
        <v>50</v>
      </c>
      <c r="K42" s="166" t="s">
        <v>53</v>
      </c>
      <c r="L42" s="166" t="s">
        <v>65</v>
      </c>
      <c r="M42" s="207" t="s">
        <v>51</v>
      </c>
      <c r="N42" s="166">
        <v>10</v>
      </c>
      <c r="O42" s="166">
        <v>2</v>
      </c>
      <c r="P42" s="166">
        <v>1</v>
      </c>
      <c r="Q42" s="166">
        <v>0</v>
      </c>
      <c r="R42" s="166">
        <v>6</v>
      </c>
      <c r="S42" s="208">
        <f>人事給与共通!O31</f>
        <v>404192.60000000003</v>
      </c>
      <c r="T42" s="209">
        <f xml:space="preserve"> 人事給与共通!I$1 * CEILING( 1.05 *1* S42/ FLOOR(1* ( CEILING( ( 人事給与共通!I$1 - 113 - O42 * 24 ) * (1 - N42 / 100), 1) ) / (2 + 6 + 1 * ( P42 + 0 ) + 2 * Q42 + ( MAX(1* 3 +4+2, ( 3 *1+ 1 * P42 + 2 * Q42 + R42 ) ) +2) ),1), 1)/1024/1024</f>
        <v>9.640625</v>
      </c>
      <c r="U42" s="166"/>
      <c r="V42" s="210">
        <v>0</v>
      </c>
    </row>
    <row r="43" spans="6:23" hidden="1">
      <c r="I43" s="211"/>
      <c r="M43" s="211"/>
      <c r="T43" s="212">
        <f>SUM(T41:T42)</f>
        <v>34.875</v>
      </c>
    </row>
    <row r="44" spans="6:23" hidden="1">
      <c r="I44" s="206" t="s">
        <v>524</v>
      </c>
      <c r="J44" s="166" t="s">
        <v>50</v>
      </c>
      <c r="K44" s="166" t="s">
        <v>52</v>
      </c>
      <c r="L44" s="166" t="s">
        <v>64</v>
      </c>
      <c r="M44" s="207" t="s">
        <v>51</v>
      </c>
      <c r="N44" s="166">
        <v>10</v>
      </c>
      <c r="O44" s="166">
        <v>2</v>
      </c>
      <c r="P44" s="166">
        <v>2</v>
      </c>
      <c r="Q44" s="166">
        <v>0</v>
      </c>
      <c r="R44" s="166">
        <v>7</v>
      </c>
      <c r="S44" s="208">
        <f>NXHR!O101</f>
        <v>3235674.7</v>
      </c>
      <c r="T44" s="209">
        <v>87.5546875</v>
      </c>
      <c r="U44" s="166"/>
      <c r="V44" s="209">
        <v>0</v>
      </c>
    </row>
    <row r="45" spans="6:23" hidden="1">
      <c r="I45" s="206">
        <f>ROUNDUP(T46/1000,2)*1.1</f>
        <v>0.17600000000000002</v>
      </c>
      <c r="J45" s="166" t="s">
        <v>50</v>
      </c>
      <c r="K45" s="166" t="s">
        <v>53</v>
      </c>
      <c r="L45" s="166" t="s">
        <v>65</v>
      </c>
      <c r="M45" s="207" t="s">
        <v>51</v>
      </c>
      <c r="N45" s="166">
        <v>10</v>
      </c>
      <c r="O45" s="166">
        <v>2</v>
      </c>
      <c r="P45" s="166">
        <v>1</v>
      </c>
      <c r="Q45" s="166">
        <v>0</v>
      </c>
      <c r="R45" s="166">
        <v>6</v>
      </c>
      <c r="S45" s="208">
        <f>NXHR!O100</f>
        <v>2821984.7</v>
      </c>
      <c r="T45" s="209">
        <v>62.4609375</v>
      </c>
      <c r="U45" s="166"/>
      <c r="V45" s="210">
        <v>0</v>
      </c>
    </row>
    <row r="46" spans="6:23">
      <c r="T46" s="193">
        <f>SUM(T44:T45)</f>
        <v>150.015625</v>
      </c>
    </row>
  </sheetData>
  <mergeCells count="2">
    <mergeCell ref="E3:E6"/>
    <mergeCell ref="G7:G10"/>
  </mergeCells>
  <phoneticPr fontId="3"/>
  <dataValidations count="1">
    <dataValidation type="whole" imeMode="off" allowBlank="1" showInputMessage="1" showErrorMessage="1" error="０か１" sqref="C7:C10" xr:uid="{00000000-0002-0000-0400-000000000000}">
      <formula1>0</formula1>
      <formula2>1</formula2>
    </dataValidation>
  </dataValidations>
  <pageMargins left="0.78700000000000003" right="0.78700000000000003" top="0.98399999999999999" bottom="0.98399999999999999" header="0.51200000000000001" footer="0.51200000000000001"/>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53894D17DC7C47BE63F9D1750C23E3" ma:contentTypeVersion="16" ma:contentTypeDescription="新しいドキュメントを作成します。" ma:contentTypeScope="" ma:versionID="4c35edf87c02789b171ce810a721c917">
  <xsd:schema xmlns:xsd="http://www.w3.org/2001/XMLSchema" xmlns:xs="http://www.w3.org/2001/XMLSchema" xmlns:p="http://schemas.microsoft.com/office/2006/metadata/properties" xmlns:ns2="5390fd7e-3ae6-4c6f-b2b3-e212599418c7" xmlns:ns3="c77ec646-6dad-47dc-8a8f-7ccedac5bce3" targetNamespace="http://schemas.microsoft.com/office/2006/metadata/properties" ma:root="true" ma:fieldsID="41774c6db6d921d399a5151416662aa2" ns2:_="" ns3:_="">
    <xsd:import namespace="5390fd7e-3ae6-4c6f-b2b3-e212599418c7"/>
    <xsd:import namespace="c77ec646-6dad-47dc-8a8f-7ccedac5bc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0fd7e-3ae6-4c6f-b2b3-e212599418c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04E044B-0321-47DF-93AC-5F65165BAE8E}" ma:internalName="TaxCatchAll" ma:showField="CatchAllData" ma:web="{e2b653b9-dda0-4875-ae0d-da43feb768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ec646-6dad-47dc-8a8f-7ccedac5bc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39cf6af-007c-4f7d-a604-462adfc6233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7ec646-6dad-47dc-8a8f-7ccedac5bce3">
      <Terms xmlns="http://schemas.microsoft.com/office/infopath/2007/PartnerControls"/>
    </lcf76f155ced4ddcb4097134ff3c332f>
    <TaxCatchAll xmlns="5390fd7e-3ae6-4c6f-b2b3-e212599418c7" xsi:nil="true"/>
  </documentManagement>
</p:properties>
</file>

<file path=customXml/itemProps1.xml><?xml version="1.0" encoding="utf-8"?>
<ds:datastoreItem xmlns:ds="http://schemas.openxmlformats.org/officeDocument/2006/customXml" ds:itemID="{81C22BD0-8BBE-49EC-AC6E-D90661545889}"/>
</file>

<file path=customXml/itemProps2.xml><?xml version="1.0" encoding="utf-8"?>
<ds:datastoreItem xmlns:ds="http://schemas.openxmlformats.org/officeDocument/2006/customXml" ds:itemID="{8D389DE0-3F38-45D4-B474-8A035EAFF662}"/>
</file>

<file path=customXml/itemProps3.xml><?xml version="1.0" encoding="utf-8"?>
<ds:datastoreItem xmlns:ds="http://schemas.openxmlformats.org/officeDocument/2006/customXml" ds:itemID="{51B3C869-8F91-4EE3-9FE9-8DA6D25EDD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人事給与共通</vt:lpstr>
      <vt:lpstr>NXPR</vt:lpstr>
      <vt:lpstr>NXHR</vt:lpstr>
      <vt:lpstr>退職金</vt:lpstr>
      <vt:lpstr>TOTAL</vt:lpstr>
      <vt:lpstr>NXPR!Print_Area</vt:lpstr>
      <vt:lpstr>TOTAL!Print_Area</vt:lpstr>
      <vt:lpstr>人事給与共通!Print_Area</vt:lpstr>
      <vt:lpstr>退職金!Print_Area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データ容量計算シートNX人給</dc:title>
  <dc:creator>沖崎　領治</dc:creator>
  <cp:lastModifiedBy>沖崎　領治(OKIZAKI-RYOJI)</cp:lastModifiedBy>
  <cp:lastPrinted>2024-05-22T02:21:35Z</cp:lastPrinted>
  <dcterms:created xsi:type="dcterms:W3CDTF">2004-06-15T05:41:10Z</dcterms:created>
  <dcterms:modified xsi:type="dcterms:W3CDTF">2025-05-26T02:52:34Z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1575627056</vt:i4>
  </property>
  <property fmtid="{D5CDD505-2E9C-101B-9397-08002B2CF9AE}" pid="3" name="_EmailSubject">
    <vt:lpwstr>PR+の確認</vt:lpwstr>
  </property>
  <property fmtid="{D5CDD505-2E9C-101B-9397-08002B2CF9AE}" pid="4" name="_AuthorEmail">
    <vt:lpwstr>jhashiyada@ssjkk.co.jp</vt:lpwstr>
  </property>
  <property fmtid="{D5CDD505-2E9C-101B-9397-08002B2CF9AE}" pid="5" name="_AuthorEmailDisplayName">
    <vt:lpwstr>橋谷田</vt:lpwstr>
  </property>
  <property fmtid="{D5CDD505-2E9C-101B-9397-08002B2CF9AE}" pid="6" name="_ReviewingToolsShownOnce">
    <vt:lpwstr/>
  </property>
  <property fmtid="{D5CDD505-2E9C-101B-9397-08002B2CF9AE}" pid="7" name="ContentTypeId">
    <vt:lpwstr>0x0101000B53894D17DC7C47BE63F9D1750C23E3</vt:lpwstr>
  </property>
</Properties>
</file>