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E16430EF-977F-49DB-9168-D7C805FF33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X統合会計" sheetId="1" r:id="rId1"/>
  </sheets>
  <definedNames>
    <definedName name="_xlnm._FilterDatabase" localSheetId="0" hidden="1">NX統合会計!$H$3:$O$640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4" i="1" l="1"/>
  <c r="N599" i="1" s="1"/>
  <c r="N638" i="1"/>
  <c r="O638" i="1" s="1"/>
  <c r="N637" i="1"/>
  <c r="O637" i="1"/>
  <c r="N636" i="1"/>
  <c r="O636" i="1" s="1"/>
  <c r="N639" i="1"/>
  <c r="O639" i="1" s="1"/>
  <c r="O635" i="1"/>
  <c r="O633" i="1"/>
  <c r="N631" i="1"/>
  <c r="N630" i="1"/>
  <c r="N629" i="1"/>
  <c r="N628" i="1"/>
  <c r="N627" i="1"/>
  <c r="N626" i="1"/>
  <c r="N625" i="1"/>
  <c r="N624" i="1"/>
  <c r="N622" i="1"/>
  <c r="N620" i="1"/>
  <c r="N618" i="1"/>
  <c r="N619" i="1" s="1"/>
  <c r="N617" i="1"/>
  <c r="O634" i="1" l="1"/>
  <c r="O618" i="1"/>
  <c r="O619" i="1"/>
  <c r="O620" i="1"/>
  <c r="O621" i="1"/>
  <c r="O622" i="1"/>
  <c r="O624" i="1"/>
  <c r="O625" i="1"/>
  <c r="O626" i="1"/>
  <c r="O627" i="1"/>
  <c r="O628" i="1"/>
  <c r="O629" i="1"/>
  <c r="O630" i="1"/>
  <c r="O631" i="1"/>
  <c r="O617" i="1"/>
  <c r="N632" i="1"/>
  <c r="O632" i="1" s="1"/>
  <c r="N616" i="1" l="1"/>
  <c r="O616" i="1" s="1"/>
  <c r="N216" i="1"/>
  <c r="N615" i="1"/>
  <c r="N607" i="1"/>
  <c r="N608" i="1"/>
  <c r="N583" i="1"/>
  <c r="L644" i="1"/>
  <c r="N456" i="1" l="1"/>
  <c r="N425" i="1"/>
  <c r="N296" i="1"/>
  <c r="N295" i="1"/>
  <c r="N287" i="1"/>
  <c r="N286" i="1"/>
  <c r="N285" i="1"/>
  <c r="N259" i="1"/>
  <c r="N258" i="1"/>
  <c r="N248" i="1"/>
  <c r="N245" i="1"/>
  <c r="N244" i="1"/>
  <c r="N237" i="1"/>
  <c r="N236" i="1"/>
  <c r="N231" i="1"/>
  <c r="N232" i="1" s="1"/>
  <c r="N228" i="1"/>
  <c r="N219" i="1"/>
  <c r="N217" i="1"/>
  <c r="N208" i="1"/>
  <c r="N185" i="1"/>
  <c r="N184" i="1"/>
  <c r="N183" i="1"/>
  <c r="N182" i="1"/>
  <c r="N181" i="1"/>
  <c r="N178" i="1"/>
  <c r="N179" i="1" s="1"/>
  <c r="N175" i="1"/>
  <c r="N174" i="1"/>
  <c r="N171" i="1"/>
  <c r="N167" i="1"/>
  <c r="N166" i="1"/>
  <c r="N158" i="1"/>
  <c r="N156" i="1"/>
  <c r="N155" i="1"/>
  <c r="N152" i="1"/>
  <c r="N148" i="1"/>
  <c r="N150" i="1" s="1"/>
  <c r="N147" i="1"/>
  <c r="N144" i="1"/>
  <c r="N143" i="1"/>
  <c r="N142" i="1"/>
  <c r="N141" i="1"/>
  <c r="N140" i="1" s="1"/>
  <c r="N139" i="1"/>
  <c r="N137" i="1"/>
  <c r="N134" i="1"/>
  <c r="N133" i="1"/>
  <c r="N132" i="1"/>
  <c r="N130" i="1"/>
  <c r="N129" i="1"/>
  <c r="N128" i="1"/>
  <c r="N123" i="1"/>
  <c r="N119" i="1"/>
  <c r="N116" i="1"/>
  <c r="N115" i="1"/>
  <c r="N113" i="1"/>
  <c r="N110" i="1"/>
  <c r="N104" i="1"/>
  <c r="N103" i="1"/>
  <c r="N88" i="1"/>
  <c r="N84" i="1"/>
  <c r="N85" i="1" s="1"/>
  <c r="N79" i="1"/>
  <c r="N78" i="1"/>
  <c r="N77" i="1"/>
  <c r="N76" i="1"/>
  <c r="N75" i="1"/>
  <c r="N74" i="1"/>
  <c r="N73" i="1"/>
  <c r="N72" i="1"/>
  <c r="N70" i="1"/>
  <c r="N66" i="1"/>
  <c r="N61" i="1" s="1"/>
  <c r="N57" i="1"/>
  <c r="N55" i="1"/>
  <c r="N52" i="1" s="1"/>
  <c r="N51" i="1"/>
  <c r="N284" i="1" s="1"/>
  <c r="N49" i="1"/>
  <c r="N48" i="1"/>
  <c r="N47" i="1"/>
  <c r="N43" i="1"/>
  <c r="N42" i="1"/>
  <c r="N40" i="1"/>
  <c r="N35" i="1"/>
  <c r="N34" i="1"/>
  <c r="N27" i="1"/>
  <c r="N28" i="1" s="1"/>
  <c r="N25" i="1"/>
  <c r="N26" i="1" s="1"/>
  <c r="N4" i="1"/>
  <c r="N604" i="1"/>
  <c r="N603" i="1"/>
  <c r="N602" i="1"/>
  <c r="N606" i="1"/>
  <c r="N601" i="1"/>
  <c r="N600" i="1"/>
  <c r="N173" i="1" l="1"/>
  <c r="N623" i="1"/>
  <c r="O623" i="1" s="1"/>
  <c r="N151" i="1"/>
  <c r="N149" i="1"/>
  <c r="N111" i="1"/>
  <c r="N112" i="1" s="1"/>
  <c r="N56" i="1"/>
  <c r="N105" i="1"/>
  <c r="N67" i="1"/>
  <c r="N106" i="1"/>
  <c r="N135" i="1"/>
  <c r="N591" i="1"/>
  <c r="N126" i="1" l="1"/>
  <c r="N120" i="1"/>
  <c r="N172" i="1" s="1"/>
  <c r="N121" i="1"/>
  <c r="N590" i="1"/>
  <c r="N450" i="1"/>
  <c r="N587" i="1"/>
  <c r="N447" i="1"/>
  <c r="N586" i="1"/>
  <c r="N224" i="1" l="1"/>
  <c r="N229" i="1"/>
  <c r="N585" i="1"/>
  <c r="N122" i="1" l="1"/>
  <c r="N169" i="1"/>
  <c r="N226" i="1"/>
  <c r="N454" i="1"/>
  <c r="N584" i="1"/>
  <c r="N452" i="1"/>
  <c r="N444" i="1"/>
  <c r="N443" i="1"/>
  <c r="N225" i="1" l="1"/>
  <c r="N230" i="1"/>
  <c r="N588" i="1"/>
  <c r="O615" i="1" l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1" i="1"/>
  <c r="O590" i="1"/>
  <c r="O588" i="1"/>
  <c r="O587" i="1"/>
  <c r="O586" i="1"/>
  <c r="O585" i="1"/>
  <c r="O584" i="1"/>
  <c r="O583" i="1"/>
  <c r="N250" i="1"/>
  <c r="N453" i="1" l="1"/>
  <c r="N424" i="1" l="1"/>
  <c r="N423" i="1"/>
  <c r="N471" i="1"/>
  <c r="N482" i="1" s="1"/>
  <c r="N468" i="1"/>
  <c r="N486" i="1" s="1"/>
  <c r="N469" i="1" l="1"/>
  <c r="N470" i="1"/>
  <c r="N480" i="1"/>
  <c r="N483" i="1"/>
  <c r="N472" i="1"/>
  <c r="N484" i="1"/>
  <c r="N485" i="1" s="1"/>
  <c r="N479" i="1"/>
  <c r="N493" i="1"/>
  <c r="N492" i="1"/>
  <c r="N416" i="1"/>
  <c r="N415" i="1"/>
  <c r="N413" i="1"/>
  <c r="N351" i="1" l="1"/>
  <c r="N303" i="1"/>
  <c r="N293" i="1"/>
  <c r="N292" i="1"/>
  <c r="O564" i="1"/>
  <c r="O563" i="1"/>
  <c r="O558" i="1"/>
  <c r="O557" i="1"/>
  <c r="O556" i="1"/>
  <c r="O555" i="1"/>
  <c r="O554" i="1"/>
  <c r="O553" i="1"/>
  <c r="O552" i="1"/>
  <c r="O551" i="1"/>
  <c r="O550" i="1"/>
  <c r="O562" i="1"/>
  <c r="O561" i="1"/>
  <c r="O560" i="1"/>
  <c r="O559" i="1"/>
  <c r="O549" i="1"/>
  <c r="O548" i="1"/>
  <c r="O547" i="1"/>
  <c r="O546" i="1"/>
  <c r="O545" i="1"/>
  <c r="O544" i="1"/>
  <c r="O543" i="1" l="1"/>
  <c r="O541" i="1"/>
  <c r="O537" i="1"/>
  <c r="O539" i="1"/>
  <c r="O538" i="1"/>
  <c r="O536" i="1"/>
  <c r="O540" i="1"/>
  <c r="O535" i="1"/>
  <c r="O534" i="1"/>
  <c r="N533" i="1"/>
  <c r="O533" i="1" s="1"/>
  <c r="N281" i="1" l="1"/>
  <c r="N279" i="1"/>
  <c r="N278" i="1"/>
  <c r="N276" i="1"/>
  <c r="N201" i="1" l="1"/>
  <c r="N204" i="1"/>
  <c r="N582" i="1" l="1"/>
  <c r="N580" i="1"/>
  <c r="N565" i="1" l="1"/>
  <c r="O565" i="1" s="1"/>
  <c r="N566" i="1"/>
  <c r="O566" i="1" s="1"/>
  <c r="N573" i="1"/>
  <c r="O573" i="1" s="1"/>
  <c r="O582" i="1"/>
  <c r="O581" i="1"/>
  <c r="O580" i="1"/>
  <c r="O579" i="1"/>
  <c r="O578" i="1"/>
  <c r="O577" i="1"/>
  <c r="O576" i="1"/>
  <c r="O575" i="1"/>
  <c r="O572" i="1"/>
  <c r="O571" i="1"/>
  <c r="O570" i="1"/>
  <c r="N516" i="1" l="1"/>
  <c r="N515" i="1"/>
  <c r="N501" i="1"/>
  <c r="N517" i="1"/>
  <c r="N497" i="1"/>
  <c r="N496" i="1"/>
  <c r="O532" i="1" l="1"/>
  <c r="O531" i="1"/>
  <c r="O530" i="1"/>
  <c r="O529" i="1"/>
  <c r="O528" i="1"/>
  <c r="O527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4" i="1"/>
  <c r="O503" i="1"/>
  <c r="O502" i="1"/>
  <c r="O501" i="1"/>
  <c r="O497" i="1"/>
  <c r="O496" i="1"/>
  <c r="O495" i="1"/>
  <c r="N488" i="1" l="1"/>
  <c r="N489" i="1" l="1"/>
  <c r="N491" i="1"/>
  <c r="N490" i="1"/>
  <c r="O493" i="1" l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N448" i="1" l="1"/>
  <c r="N445" i="1"/>
  <c r="N196" i="1" l="1"/>
  <c r="N589" i="1" s="1"/>
  <c r="O589" i="1" s="1"/>
  <c r="N449" i="1" l="1"/>
  <c r="O449" i="1" s="1"/>
  <c r="N353" i="1"/>
  <c r="O458" i="1"/>
  <c r="O457" i="1"/>
  <c r="O456" i="1"/>
  <c r="O455" i="1"/>
  <c r="O454" i="1"/>
  <c r="O453" i="1"/>
  <c r="O452" i="1"/>
  <c r="O450" i="1"/>
  <c r="O448" i="1"/>
  <c r="O447" i="1"/>
  <c r="O445" i="1"/>
  <c r="O444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43" i="1"/>
  <c r="O442" i="1"/>
  <c r="N526" i="1" l="1"/>
  <c r="O526" i="1" s="1"/>
  <c r="O441" i="1" l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N352" i="1" l="1"/>
  <c r="N350" i="1"/>
  <c r="N354" i="1" s="1"/>
  <c r="N355" i="1" s="1"/>
  <c r="N349" i="1"/>
  <c r="N418" i="1" l="1"/>
  <c r="N265" i="1"/>
  <c r="N262" i="1"/>
  <c r="N261" i="1"/>
  <c r="N260" i="1"/>
  <c r="N246" i="1"/>
  <c r="N414" i="1" l="1"/>
  <c r="N419" i="1" l="1"/>
  <c r="N417" i="1"/>
  <c r="N411" i="1" l="1"/>
  <c r="N400" i="1" l="1"/>
  <c r="N398" i="1"/>
  <c r="N397" i="1" l="1"/>
  <c r="N395" i="1"/>
  <c r="O402" i="1" l="1"/>
  <c r="O401" i="1"/>
  <c r="O400" i="1"/>
  <c r="O407" i="1"/>
  <c r="O406" i="1"/>
  <c r="O405" i="1"/>
  <c r="O404" i="1"/>
  <c r="O403" i="1"/>
  <c r="O399" i="1"/>
  <c r="O398" i="1"/>
  <c r="O397" i="1"/>
  <c r="O396" i="1"/>
  <c r="O413" i="1"/>
  <c r="O412" i="1"/>
  <c r="O411" i="1"/>
  <c r="O410" i="1"/>
  <c r="O409" i="1"/>
  <c r="O408" i="1"/>
  <c r="O395" i="1"/>
  <c r="O394" i="1"/>
  <c r="O417" i="1"/>
  <c r="O416" i="1"/>
  <c r="O415" i="1"/>
  <c r="O414" i="1"/>
  <c r="O419" i="1"/>
  <c r="O418" i="1"/>
  <c r="O420" i="1"/>
  <c r="O421" i="1"/>
  <c r="O393" i="1"/>
  <c r="O391" i="1"/>
  <c r="O392" i="1"/>
  <c r="O422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7" i="1"/>
  <c r="O358" i="1"/>
  <c r="O360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55" i="1"/>
  <c r="O354" i="1"/>
  <c r="N574" i="1" l="1"/>
  <c r="O574" i="1" s="1"/>
  <c r="N312" i="1"/>
  <c r="N311" i="1"/>
  <c r="O311" i="1" s="1"/>
  <c r="N305" i="1"/>
  <c r="O305" i="1" s="1"/>
  <c r="O303" i="1"/>
  <c r="O301" i="1"/>
  <c r="N297" i="1"/>
  <c r="O297" i="1" s="1"/>
  <c r="O294" i="1"/>
  <c r="N302" i="1"/>
  <c r="O302" i="1" s="1"/>
  <c r="O316" i="1"/>
  <c r="O315" i="1"/>
  <c r="O314" i="1"/>
  <c r="O313" i="1"/>
  <c r="O310" i="1"/>
  <c r="O309" i="1"/>
  <c r="O308" i="1"/>
  <c r="O307" i="1"/>
  <c r="O306" i="1"/>
  <c r="O304" i="1"/>
  <c r="O300" i="1"/>
  <c r="O299" i="1"/>
  <c r="O298" i="1"/>
  <c r="D17" i="1"/>
  <c r="N114" i="1" s="1"/>
  <c r="O312" i="1" l="1"/>
  <c r="O295" i="1"/>
  <c r="O296" i="1"/>
  <c r="N289" i="1"/>
  <c r="N290" i="1"/>
  <c r="N291" i="1"/>
  <c r="N273" i="1"/>
  <c r="N274" i="1" s="1"/>
  <c r="N275" i="1" l="1"/>
  <c r="N280" i="1" l="1"/>
  <c r="N277" i="1"/>
  <c r="N256" i="1"/>
  <c r="N525" i="1" l="1"/>
  <c r="O525" i="1" s="1"/>
  <c r="N249" i="1"/>
  <c r="N524" i="1"/>
  <c r="O524" i="1" s="1"/>
  <c r="N263" i="1"/>
  <c r="N542" i="1" l="1"/>
  <c r="O542" i="1" s="1"/>
  <c r="N257" i="1"/>
  <c r="O257" i="1" s="1"/>
  <c r="N446" i="1"/>
  <c r="O446" i="1" s="1"/>
  <c r="O237" i="1"/>
  <c r="O236" i="1"/>
  <c r="O219" i="1"/>
  <c r="O227" i="1"/>
  <c r="O217" i="1"/>
  <c r="O218" i="1"/>
  <c r="O220" i="1"/>
  <c r="O221" i="1"/>
  <c r="O222" i="1"/>
  <c r="O223" i="1"/>
  <c r="O226" i="1"/>
  <c r="O228" i="1"/>
  <c r="O234" i="1"/>
  <c r="O235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8" i="1"/>
  <c r="O259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1" i="1"/>
  <c r="O285" i="1"/>
  <c r="O286" i="1"/>
  <c r="O287" i="1"/>
  <c r="O289" i="1"/>
  <c r="O290" i="1"/>
  <c r="O291" i="1"/>
  <c r="O292" i="1"/>
  <c r="O215" i="1"/>
  <c r="O216" i="1"/>
  <c r="N200" i="1"/>
  <c r="N199" i="1"/>
  <c r="N198" i="1"/>
  <c r="N197" i="1"/>
  <c r="N195" i="1"/>
  <c r="N192" i="1"/>
  <c r="N191" i="1"/>
  <c r="N189" i="1"/>
  <c r="N494" i="1" s="1"/>
  <c r="O494" i="1" s="1"/>
  <c r="N188" i="1"/>
  <c r="N187" i="1"/>
  <c r="N190" i="1" s="1"/>
  <c r="N203" i="1"/>
  <c r="N283" i="1" l="1"/>
  <c r="O283" i="1" s="1"/>
  <c r="N592" i="1"/>
  <c r="O592" i="1" s="1"/>
  <c r="O231" i="1"/>
  <c r="O284" i="1"/>
  <c r="O260" i="1"/>
  <c r="O261" i="1"/>
  <c r="N498" i="1" l="1"/>
  <c r="O498" i="1" s="1"/>
  <c r="N233" i="1"/>
  <c r="O233" i="1" s="1"/>
  <c r="O232" i="1"/>
  <c r="N451" i="1"/>
  <c r="O451" i="1" s="1"/>
  <c r="O230" i="1"/>
  <c r="N356" i="1"/>
  <c r="O356" i="1" s="1"/>
  <c r="N282" i="1"/>
  <c r="N288" i="1" s="1"/>
  <c r="O225" i="1"/>
  <c r="N499" i="1" l="1"/>
  <c r="N505" i="1"/>
  <c r="O505" i="1" s="1"/>
  <c r="N500" i="1"/>
  <c r="N507" i="1" s="1"/>
  <c r="O507" i="1" s="1"/>
  <c r="N568" i="1"/>
  <c r="O568" i="1" s="1"/>
  <c r="N567" i="1"/>
  <c r="O567" i="1" s="1"/>
  <c r="O224" i="1"/>
  <c r="O229" i="1"/>
  <c r="O280" i="1"/>
  <c r="O288" i="1"/>
  <c r="O282" i="1"/>
  <c r="N569" i="1" l="1"/>
  <c r="O569" i="1" s="1"/>
  <c r="N593" i="1"/>
  <c r="O593" i="1" s="1"/>
  <c r="O500" i="1"/>
  <c r="O499" i="1"/>
  <c r="N506" i="1"/>
  <c r="O506" i="1" s="1"/>
  <c r="O151" i="1"/>
  <c r="O150" i="1"/>
  <c r="O40" i="1"/>
  <c r="O42" i="1"/>
  <c r="O43" i="1"/>
  <c r="O158" i="1"/>
  <c r="O201" i="1"/>
  <c r="O4" i="1"/>
  <c r="O203" i="1"/>
  <c r="O110" i="1"/>
  <c r="O166" i="1"/>
  <c r="O214" i="1"/>
  <c r="O213" i="1"/>
  <c r="O212" i="1"/>
  <c r="O211" i="1"/>
  <c r="O210" i="1"/>
  <c r="O209" i="1"/>
  <c r="O208" i="1"/>
  <c r="O207" i="1"/>
  <c r="O206" i="1"/>
  <c r="O205" i="1"/>
  <c r="O204" i="1"/>
  <c r="O194" i="1"/>
  <c r="O193" i="1"/>
  <c r="O186" i="1"/>
  <c r="O180" i="1"/>
  <c r="O177" i="1"/>
  <c r="O176" i="1"/>
  <c r="O171" i="1"/>
  <c r="O170" i="1"/>
  <c r="O168" i="1"/>
  <c r="O165" i="1"/>
  <c r="O164" i="1"/>
  <c r="O163" i="1"/>
  <c r="O162" i="1"/>
  <c r="O161" i="1"/>
  <c r="O160" i="1"/>
  <c r="O159" i="1"/>
  <c r="O157" i="1"/>
  <c r="O154" i="1"/>
  <c r="O153" i="1"/>
  <c r="O152" i="1"/>
  <c r="O149" i="1"/>
  <c r="O148" i="1"/>
  <c r="O146" i="1"/>
  <c r="O145" i="1"/>
  <c r="O140" i="1"/>
  <c r="O136" i="1"/>
  <c r="O131" i="1"/>
  <c r="O127" i="1"/>
  <c r="O125" i="1"/>
  <c r="O124" i="1"/>
  <c r="O118" i="1"/>
  <c r="O117" i="1"/>
  <c r="O109" i="1"/>
  <c r="O108" i="1"/>
  <c r="O107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3" i="1"/>
  <c r="O82" i="1"/>
  <c r="O81" i="1"/>
  <c r="O80" i="1"/>
  <c r="O71" i="1"/>
  <c r="O69" i="1"/>
  <c r="O68" i="1"/>
  <c r="O65" i="1"/>
  <c r="O64" i="1"/>
  <c r="O63" i="1"/>
  <c r="O62" i="1"/>
  <c r="O60" i="1"/>
  <c r="O59" i="1"/>
  <c r="O58" i="1"/>
  <c r="O57" i="1"/>
  <c r="O54" i="1"/>
  <c r="O53" i="1"/>
  <c r="O50" i="1"/>
  <c r="O46" i="1"/>
  <c r="O45" i="1"/>
  <c r="O44" i="1"/>
  <c r="O41" i="1"/>
  <c r="O39" i="1"/>
  <c r="O38" i="1"/>
  <c r="O37" i="1"/>
  <c r="O36" i="1"/>
  <c r="O33" i="1"/>
  <c r="O32" i="1"/>
  <c r="O31" i="1"/>
  <c r="O30" i="1"/>
  <c r="O29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8" i="1"/>
  <c r="O7" i="1"/>
  <c r="O6" i="1"/>
  <c r="O5" i="1"/>
  <c r="O48" i="1"/>
  <c r="O47" i="1"/>
  <c r="O85" i="1"/>
  <c r="O181" i="1"/>
  <c r="O179" i="1"/>
  <c r="O178" i="1"/>
  <c r="O175" i="1"/>
  <c r="O174" i="1"/>
  <c r="O173" i="1"/>
  <c r="O167" i="1"/>
  <c r="O144" i="1"/>
  <c r="O143" i="1"/>
  <c r="O142" i="1"/>
  <c r="O141" i="1"/>
  <c r="O139" i="1"/>
  <c r="O134" i="1"/>
  <c r="O133" i="1"/>
  <c r="O132" i="1"/>
  <c r="O130" i="1"/>
  <c r="O129" i="1"/>
  <c r="O128" i="1"/>
  <c r="O123" i="1"/>
  <c r="O116" i="1"/>
  <c r="O115" i="1"/>
  <c r="O113" i="1"/>
  <c r="O112" i="1"/>
  <c r="O106" i="1"/>
  <c r="O105" i="1"/>
  <c r="O104" i="1"/>
  <c r="O49" i="1"/>
  <c r="O9" i="1"/>
  <c r="O200" i="1"/>
  <c r="O199" i="1"/>
  <c r="O198" i="1"/>
  <c r="O196" i="1"/>
  <c r="O197" i="1"/>
  <c r="O195" i="1"/>
  <c r="O192" i="1"/>
  <c r="O191" i="1"/>
  <c r="O189" i="1"/>
  <c r="O188" i="1"/>
  <c r="O190" i="1"/>
  <c r="O185" i="1"/>
  <c r="O183" i="1"/>
  <c r="O184" i="1"/>
  <c r="O182" i="1"/>
  <c r="O156" i="1"/>
  <c r="O147" i="1"/>
  <c r="O137" i="1"/>
  <c r="O135" i="1"/>
  <c r="O119" i="1"/>
  <c r="O79" i="1"/>
  <c r="O78" i="1"/>
  <c r="O77" i="1"/>
  <c r="O76" i="1"/>
  <c r="O75" i="1"/>
  <c r="O73" i="1"/>
  <c r="O74" i="1"/>
  <c r="O72" i="1"/>
  <c r="O66" i="1"/>
  <c r="O52" i="1"/>
  <c r="O28" i="1"/>
  <c r="O35" i="1"/>
  <c r="O169" i="1"/>
  <c r="O70" i="1"/>
  <c r="D5" i="1"/>
  <c r="O84" i="1"/>
  <c r="O187" i="1"/>
  <c r="O34" i="1" l="1"/>
  <c r="O56" i="1"/>
  <c r="N359" i="1"/>
  <c r="O359" i="1" s="1"/>
  <c r="O27" i="1"/>
  <c r="O61" i="1"/>
  <c r="O26" i="1"/>
  <c r="N202" i="1"/>
  <c r="O202" i="1" s="1"/>
  <c r="O25" i="1"/>
  <c r="O55" i="1"/>
  <c r="O126" i="1"/>
  <c r="O111" i="1"/>
  <c r="O121" i="1"/>
  <c r="O155" i="1"/>
  <c r="O67" i="1"/>
  <c r="O138" i="1"/>
  <c r="O51" i="1"/>
  <c r="O172" i="1" l="1"/>
  <c r="O120" i="1"/>
  <c r="O122" i="1"/>
  <c r="O114" i="1"/>
  <c r="O293" i="1" l="1"/>
  <c r="O640" i="1" s="1"/>
  <c r="O643" i="1" l="1"/>
  <c r="D4" i="1" l="1"/>
</calcChain>
</file>

<file path=xl/sharedStrings.xml><?xml version="1.0" encoding="utf-8"?>
<sst xmlns="http://schemas.openxmlformats.org/spreadsheetml/2006/main" count="2000" uniqueCount="1364">
  <si>
    <t>No.</t>
  </si>
  <si>
    <t>エンティティ名</t>
  </si>
  <si>
    <t>テーブル名</t>
  </si>
  <si>
    <t>スキーマ</t>
  </si>
  <si>
    <t>SSAC</t>
  </si>
  <si>
    <t>ＣＦ用科目マスタ</t>
  </si>
  <si>
    <t>GLCFKMST</t>
  </si>
  <si>
    <t>ＤＢインストールマスタ</t>
  </si>
  <si>
    <t>CMDBIMST</t>
  </si>
  <si>
    <t>SSCM</t>
  </si>
  <si>
    <t>ＤＢインストール履歴マスタ</t>
  </si>
  <si>
    <t>CMDBHMST</t>
  </si>
  <si>
    <t>ＦＢ入金集金先コード補正ワーク</t>
  </si>
  <si>
    <t>ARFBSWRK</t>
  </si>
  <si>
    <t>ＦＢ入金振込人名マスタ</t>
  </si>
  <si>
    <t>ARFBNMST</t>
  </si>
  <si>
    <t>ＦＢ入金振込専用口座マスタ</t>
  </si>
  <si>
    <t>ARFBKMST</t>
  </si>
  <si>
    <t>インストールシステムマスタ</t>
  </si>
  <si>
    <t>CMISYMST</t>
  </si>
  <si>
    <t>インストール情報マスタ</t>
  </si>
  <si>
    <t>CMINIMST</t>
  </si>
  <si>
    <t>インストール履歴マスタ</t>
  </si>
  <si>
    <t>CMINHMST</t>
  </si>
  <si>
    <t>コード利用情報マスタ</t>
  </si>
  <si>
    <t>ACCDSMST</t>
  </si>
  <si>
    <t>サービス実行管理マスタ</t>
  </si>
  <si>
    <t>CMSVMMST</t>
  </si>
  <si>
    <t>CMSVCMST</t>
  </si>
  <si>
    <t>システムユーザーマスタ</t>
  </si>
  <si>
    <t>CMSUSMST</t>
  </si>
  <si>
    <t>ACSYSMST</t>
  </si>
  <si>
    <t>システム設定マスタ</t>
  </si>
  <si>
    <t>CMSSTMST</t>
  </si>
  <si>
    <t>システム名称マスタ</t>
  </si>
  <si>
    <t>CMSYSMST</t>
  </si>
  <si>
    <t>スポット仕入先コード採番マスタ</t>
  </si>
  <si>
    <t>APSPTMST</t>
  </si>
  <si>
    <t>セキュリティオプションマスタ</t>
  </si>
  <si>
    <t>CMSCOMST</t>
  </si>
  <si>
    <t>データログ管理マスタ</t>
  </si>
  <si>
    <t>パスワード管理マスタ</t>
  </si>
  <si>
    <t>CMPWDMST</t>
  </si>
  <si>
    <t>パスワード履歴管理マスタ</t>
  </si>
  <si>
    <t>CMPWHMST</t>
  </si>
  <si>
    <t>プロジェクトマスタ</t>
  </si>
  <si>
    <t>ACPRJMST</t>
  </si>
  <si>
    <t>プロジェクト名称マスタ</t>
  </si>
  <si>
    <t>ACPRNMST</t>
  </si>
  <si>
    <t>メッセージマスタ</t>
  </si>
  <si>
    <t>CMMSGMST</t>
  </si>
  <si>
    <t>メニューロールマスタ</t>
  </si>
  <si>
    <t>CMMRLMST</t>
  </si>
  <si>
    <t>メニュー権限マスタ</t>
  </si>
  <si>
    <t>CMMNKMST</t>
  </si>
  <si>
    <t>CMUGRMST</t>
  </si>
  <si>
    <t>ユーザーマスタ</t>
  </si>
  <si>
    <t>CMUSRMST</t>
  </si>
  <si>
    <t>ユーザー別会社マスタ</t>
  </si>
  <si>
    <t>CMUSKMST</t>
  </si>
  <si>
    <t>リモート保守ユーザマスタ</t>
  </si>
  <si>
    <t>CMRMUMST</t>
  </si>
  <si>
    <t>レートタイプ名称マスタ</t>
  </si>
  <si>
    <t>ACRTTMST</t>
  </si>
  <si>
    <t>ロールマスタ</t>
  </si>
  <si>
    <t>CMROLMST</t>
  </si>
  <si>
    <t>ログ管理マスタ</t>
  </si>
  <si>
    <t>CMLOGMST</t>
  </si>
  <si>
    <t>ワークフロータグワーク</t>
  </si>
  <si>
    <t>CMWFTWRK</t>
  </si>
  <si>
    <t>ワークフローデータワーク</t>
  </si>
  <si>
    <t>CMWFDWRK</t>
  </si>
  <si>
    <t>ワークフローデータ検索用会計情報ワーク</t>
  </si>
  <si>
    <t>ACWFSWRK</t>
  </si>
  <si>
    <t>ワークフロー実行ログ</t>
  </si>
  <si>
    <t>CMWFALOG</t>
  </si>
  <si>
    <t>ワークフロー主管承認ルートヘッダマスタ</t>
  </si>
  <si>
    <t>CMSSHMST</t>
  </si>
  <si>
    <t>ワークフロー主管承認ルートマスタ</t>
  </si>
  <si>
    <t>CMSSRMST</t>
  </si>
  <si>
    <t>ワークフロー添付ワーク</t>
  </si>
  <si>
    <t>CMWFAWRK</t>
  </si>
  <si>
    <t>ワークフロー部門内承認ルートヘッダマスタ</t>
  </si>
  <si>
    <t>CMBSHMST</t>
  </si>
  <si>
    <t>ワークフロー部門内承認ルートマスタ</t>
  </si>
  <si>
    <t>CMBSRMST</t>
  </si>
  <si>
    <t>仮受・前受伝票トラン</t>
  </si>
  <si>
    <t>仮払・経費精算コードマスタ</t>
  </si>
  <si>
    <t>APKSCMST</t>
  </si>
  <si>
    <t>APKSHTRN</t>
  </si>
  <si>
    <t>科目・科目セキュリティ対照マスタ</t>
  </si>
  <si>
    <t>ACKSTMST</t>
  </si>
  <si>
    <t>科目グループ名称マスタ</t>
  </si>
  <si>
    <t>ACKGNMST</t>
  </si>
  <si>
    <t>科目セキュリティマスタ</t>
  </si>
  <si>
    <t>科目マスタ</t>
  </si>
  <si>
    <t>ACKMKMST</t>
  </si>
  <si>
    <t>科目名称マスタ</t>
  </si>
  <si>
    <t>ACKMNMST</t>
  </si>
  <si>
    <t>会計カレンダー</t>
  </si>
  <si>
    <t>ACCALMST</t>
  </si>
  <si>
    <t>会計管理マスタ</t>
  </si>
  <si>
    <t>ACKNRMST</t>
  </si>
  <si>
    <t>会計業務マスタ</t>
  </si>
  <si>
    <t>ACGYMMST</t>
  </si>
  <si>
    <t>会計業務権限マスタ</t>
  </si>
  <si>
    <t>ACGYKMST</t>
  </si>
  <si>
    <t>会計組織マスタ</t>
  </si>
  <si>
    <t>ACSSKMST</t>
  </si>
  <si>
    <t>会計組織階層マスタ</t>
  </si>
  <si>
    <t>ACSKSMST</t>
  </si>
  <si>
    <t>会計組織階層名称マスタ</t>
  </si>
  <si>
    <t>ACSKNMST</t>
  </si>
  <si>
    <t>会計組織分類マスタ</t>
  </si>
  <si>
    <t>ACSSBMST</t>
  </si>
  <si>
    <t>会計組織分類名称マスタ</t>
  </si>
  <si>
    <t>ACSBNMST</t>
  </si>
  <si>
    <t>会計部門マスタ</t>
  </si>
  <si>
    <t>ACBUMMST</t>
  </si>
  <si>
    <t>会計部門名称マスタ</t>
  </si>
  <si>
    <t>ACBMNMST</t>
  </si>
  <si>
    <t>会計役割マスタ</t>
  </si>
  <si>
    <t>ACYAKMST</t>
  </si>
  <si>
    <t>会社マスタ</t>
  </si>
  <si>
    <t>CMKAIMST</t>
  </si>
  <si>
    <t>会社名称マスタ</t>
  </si>
  <si>
    <t>CMKANMST</t>
  </si>
  <si>
    <t>換算レートマスタ</t>
  </si>
  <si>
    <t>ACRATMST</t>
  </si>
  <si>
    <t>機能コード１マスタ</t>
  </si>
  <si>
    <t>ACFC1MST</t>
  </si>
  <si>
    <t>機能コード１名称マスタ</t>
  </si>
  <si>
    <t>ACFN1MST</t>
  </si>
  <si>
    <t>機能コード２マスタ</t>
  </si>
  <si>
    <t>ACFC2MST</t>
  </si>
  <si>
    <t>機能コード２名称マスタ</t>
  </si>
  <si>
    <t>ACFN2MST</t>
  </si>
  <si>
    <t>機能コード３マスタ</t>
  </si>
  <si>
    <t>ACFC3MST</t>
  </si>
  <si>
    <t>機能コード３名称マスタ</t>
  </si>
  <si>
    <t>ACFN3MST</t>
  </si>
  <si>
    <t>機能コード４マスタ</t>
  </si>
  <si>
    <t>ACFC4MST</t>
  </si>
  <si>
    <t>機能コード４名称マスタ</t>
  </si>
  <si>
    <t>ACFN4MST</t>
  </si>
  <si>
    <t>業務カテゴリ定義マスタ</t>
  </si>
  <si>
    <t>CMGYCMST</t>
  </si>
  <si>
    <t>業務機能カテゴリ定義マスタ</t>
  </si>
  <si>
    <t>CMGFCMST</t>
  </si>
  <si>
    <t>業務機能カテゴリ表示順定義マスタ</t>
  </si>
  <si>
    <t>CMGFOMST</t>
  </si>
  <si>
    <t>業務機能定義マスタ</t>
  </si>
  <si>
    <t>CMGYFMST</t>
  </si>
  <si>
    <t>CMGLHWRK</t>
  </si>
  <si>
    <t>業務共通ログ明細ワーク</t>
  </si>
  <si>
    <t>CMGLMWRK</t>
  </si>
  <si>
    <t>業務排他制御マスタ</t>
  </si>
  <si>
    <t>CMGLKMST</t>
  </si>
  <si>
    <t>銀行マスタ</t>
  </si>
  <si>
    <t>CMBNKMST</t>
  </si>
  <si>
    <t>銀行休日マスタ</t>
  </si>
  <si>
    <t>CMBKHMST</t>
  </si>
  <si>
    <t>銀行口座マスタ</t>
  </si>
  <si>
    <t>ACKOZMST</t>
  </si>
  <si>
    <t>銀行支店マスタ</t>
  </si>
  <si>
    <t>CMBKSMST</t>
  </si>
  <si>
    <t>銀行振込手数料マスタ</t>
  </si>
  <si>
    <t>APFRTMST</t>
  </si>
  <si>
    <t>銀行振込用ヘッダワーク</t>
  </si>
  <si>
    <t>APFRHWRK</t>
  </si>
  <si>
    <t>銀行振込用明細ワーク</t>
  </si>
  <si>
    <t>APFRMWRK</t>
  </si>
  <si>
    <t>区分値名称マスタ</t>
  </si>
  <si>
    <t>CMKBNMST</t>
  </si>
  <si>
    <t>検索パターンアイテムマスタ</t>
  </si>
  <si>
    <t>CMSPIMST</t>
  </si>
  <si>
    <t>検索パターンマスタ</t>
  </si>
  <si>
    <t>CMSPTMST</t>
  </si>
  <si>
    <t>検索パターン一覧マスタ</t>
  </si>
  <si>
    <t>CMSPLMST</t>
  </si>
  <si>
    <t>現在会計期マスタ</t>
  </si>
  <si>
    <t>ACGKIMST</t>
  </si>
  <si>
    <t>言語マスタ</t>
  </si>
  <si>
    <t>CMLNGMST</t>
  </si>
  <si>
    <t>債権伝票パターングループマスタ</t>
  </si>
  <si>
    <t>ARPTGMST</t>
  </si>
  <si>
    <t>ARPTHMST</t>
  </si>
  <si>
    <t>ARPTNMST</t>
  </si>
  <si>
    <t>債権伝票パターン明細マスタ</t>
  </si>
  <si>
    <t>ARPTMMST</t>
  </si>
  <si>
    <t>ARSKHTRN</t>
  </si>
  <si>
    <t>債権伝票入金予定明細トラン</t>
  </si>
  <si>
    <t>ARSKNTRN</t>
  </si>
  <si>
    <t>ARSKMTRN</t>
  </si>
  <si>
    <t>債務伝票パターングループマスタ</t>
  </si>
  <si>
    <t>APPTGMST</t>
  </si>
  <si>
    <t>債務伝票パターンヘッダマスタ</t>
  </si>
  <si>
    <t>APPTHMST</t>
  </si>
  <si>
    <t>債務伝票パターン明細マスタ</t>
  </si>
  <si>
    <t>APPTMMST</t>
  </si>
  <si>
    <t>APSMHTRN</t>
  </si>
  <si>
    <t>債務伝票支払明細トラン</t>
  </si>
  <si>
    <t>APSMSTRN</t>
  </si>
  <si>
    <t>債務伝票明細トラン</t>
  </si>
  <si>
    <t>APSMMTRN</t>
  </si>
  <si>
    <t>残高マスタ</t>
  </si>
  <si>
    <t>GLZANMST</t>
  </si>
  <si>
    <t>仕入先管理マスタ</t>
  </si>
  <si>
    <t>APSRKMST</t>
  </si>
  <si>
    <t>仕入先条件管理マスタ</t>
  </si>
  <si>
    <t>APSRJMST</t>
  </si>
  <si>
    <t>仕訳パターングループマスタ</t>
  </si>
  <si>
    <t>GLPTGMST</t>
  </si>
  <si>
    <t>GLPTHMST</t>
  </si>
  <si>
    <t>仕訳パターン明細マスタ</t>
  </si>
  <si>
    <t>GLPTMMST</t>
  </si>
  <si>
    <t>GLSWHTRN</t>
  </si>
  <si>
    <t>仕訳伝票証憑トラン</t>
  </si>
  <si>
    <t>GLSWSTRN</t>
  </si>
  <si>
    <t>GLSWMTRN</t>
  </si>
  <si>
    <t>支払確定トラン</t>
  </si>
  <si>
    <t>APSKTTRN</t>
  </si>
  <si>
    <t>APSKCMST</t>
  </si>
  <si>
    <t>支払業務コードマスタ</t>
  </si>
  <si>
    <t>APSGCMST</t>
  </si>
  <si>
    <t>支払変更トラン</t>
  </si>
  <si>
    <t>APSHKTRN</t>
  </si>
  <si>
    <t>支払方法マスタ</t>
  </si>
  <si>
    <t>APSHHMST</t>
  </si>
  <si>
    <t>社員マスタ</t>
  </si>
  <si>
    <t>CMSHAMST</t>
  </si>
  <si>
    <t>社員支払情報管理マスタ</t>
  </si>
  <si>
    <t>APSHAMST</t>
  </si>
  <si>
    <t>社内経費支払締マスタ</t>
  </si>
  <si>
    <t>APKSMMST</t>
  </si>
  <si>
    <t>社内経費締条件マスタ</t>
  </si>
  <si>
    <t>APKSJMST</t>
  </si>
  <si>
    <t>取引先・社員残高マスタ</t>
  </si>
  <si>
    <t>GLZNTMST</t>
  </si>
  <si>
    <t>取引先マスタ</t>
  </si>
  <si>
    <t>ACTRHMST</t>
  </si>
  <si>
    <t>集金先締次残高マスタ</t>
  </si>
  <si>
    <t>ARSZNMST</t>
  </si>
  <si>
    <t>出力コントロールマスタ</t>
  </si>
  <si>
    <t>GLOPCMST</t>
  </si>
  <si>
    <t>処理種別マスタ</t>
  </si>
  <si>
    <t>CMSBTMST</t>
  </si>
  <si>
    <t>CMSGRMST</t>
  </si>
  <si>
    <t>承認ユーザーグループ名称マスタ</t>
  </si>
  <si>
    <t>CMSGNMST</t>
  </si>
  <si>
    <t>消込チェックリストワーク</t>
  </si>
  <si>
    <t>ARKCLWRK</t>
  </si>
  <si>
    <t>消込差額明細トラン</t>
  </si>
  <si>
    <t>ARKSSTRN</t>
  </si>
  <si>
    <t>消込伝票ヘッダトラン</t>
  </si>
  <si>
    <t>ARKSHTRN</t>
  </si>
  <si>
    <t>消込入金明細トラン</t>
  </si>
  <si>
    <t>ARKSNTRN</t>
  </si>
  <si>
    <t>消込入金予定明細トラン</t>
  </si>
  <si>
    <t>ARKSYTRN</t>
  </si>
  <si>
    <t>振込先マスタ</t>
  </si>
  <si>
    <t>APFRSMST</t>
  </si>
  <si>
    <t>請求書用締日ワーク</t>
  </si>
  <si>
    <t>ARSIMWRK</t>
  </si>
  <si>
    <t>税処理マスタ</t>
  </si>
  <si>
    <t>ACZEIMST</t>
  </si>
  <si>
    <t>組織・部門セキュリティ対照マスタ</t>
  </si>
  <si>
    <t>ACBSTMST</t>
  </si>
  <si>
    <t>ARSOHTRN</t>
  </si>
  <si>
    <t>相殺伝票支払明細トラン</t>
  </si>
  <si>
    <t>ARSOSTRN</t>
  </si>
  <si>
    <t>相殺伝票入金予定明細トラン</t>
  </si>
  <si>
    <t>ARSONTRN</t>
  </si>
  <si>
    <t>相殺伝票明細トラン</t>
  </si>
  <si>
    <t>ARSOMTRN</t>
  </si>
  <si>
    <t>増減明細金額マスタ</t>
  </si>
  <si>
    <t>GLZGKMST</t>
  </si>
  <si>
    <t>増減明細見出マスタ</t>
  </si>
  <si>
    <t>GLZGHMST</t>
  </si>
  <si>
    <t>増減明細項目マスタ</t>
  </si>
  <si>
    <t>GLZGIMST</t>
  </si>
  <si>
    <t>CMDGRMST</t>
  </si>
  <si>
    <t>代理承認者グループ名称マスタ</t>
  </si>
  <si>
    <t>CMDGNMST</t>
  </si>
  <si>
    <t>調整仕訳項番見出マスタ</t>
  </si>
  <si>
    <t>GLCSKMST</t>
  </si>
  <si>
    <t>調整仕訳表マスタ</t>
  </si>
  <si>
    <t>GLCSWMST</t>
  </si>
  <si>
    <t>通貨マスタ</t>
  </si>
  <si>
    <t>ACCURMST</t>
  </si>
  <si>
    <t>定例仕訳グループマスタ</t>
  </si>
  <si>
    <t>GLTSGMST</t>
  </si>
  <si>
    <t>定例仕訳ヘッダマスタ</t>
  </si>
  <si>
    <t>GLTSHMST</t>
  </si>
  <si>
    <t>定例仕訳明細マスタ</t>
  </si>
  <si>
    <t>GLTSMMST</t>
  </si>
  <si>
    <t>定例支払グループマスタ</t>
  </si>
  <si>
    <t>APTSGMST</t>
  </si>
  <si>
    <t>APTSHMST</t>
  </si>
  <si>
    <t>APTSSMST</t>
  </si>
  <si>
    <t>定例支払明細マスタ</t>
  </si>
  <si>
    <t>APTSMMST</t>
  </si>
  <si>
    <t>締日管理マスタ</t>
  </si>
  <si>
    <t>ACSIMMST</t>
  </si>
  <si>
    <t>ACDGRMST</t>
  </si>
  <si>
    <t>伝票グループ名称マスタ</t>
  </si>
  <si>
    <t>ACDGNMST</t>
  </si>
  <si>
    <t>伝票摘要マスタ</t>
  </si>
  <si>
    <t>ACTEKMST</t>
  </si>
  <si>
    <t>伝票発番管理マスタ</t>
  </si>
  <si>
    <t>ACDENMST</t>
  </si>
  <si>
    <t>ACDEHMST</t>
  </si>
  <si>
    <t>得意先・仕入先マスタ</t>
  </si>
  <si>
    <t>ACTR2MST</t>
  </si>
  <si>
    <t>得意先締日マスタ</t>
  </si>
  <si>
    <t>ARTKSMST</t>
  </si>
  <si>
    <t>得意先別債権条件マスタ</t>
  </si>
  <si>
    <t>ARTKJMST</t>
  </si>
  <si>
    <t>内部科目マスタ</t>
  </si>
  <si>
    <t>ACNKMMST</t>
  </si>
  <si>
    <t>入金振込手数料マスタ</t>
  </si>
  <si>
    <t>ARFRTMST</t>
  </si>
  <si>
    <t>ARNYHTRN</t>
  </si>
  <si>
    <t>入金伝票明細トラン</t>
  </si>
  <si>
    <t>ARNYMTRN</t>
  </si>
  <si>
    <t>入金方法マスタ</t>
  </si>
  <si>
    <t>ARNHHMST</t>
  </si>
  <si>
    <t>入金予定・入金相殺実績紐付トラン</t>
  </si>
  <si>
    <t>ARLNKTRN</t>
  </si>
  <si>
    <t>任意集計科目マスタ</t>
  </si>
  <si>
    <t>ACNSKMST</t>
  </si>
  <si>
    <t>配賦グループマスタ</t>
  </si>
  <si>
    <t>GLHFGMST</t>
  </si>
  <si>
    <t>配賦マスタ</t>
  </si>
  <si>
    <t>GLHIFMST</t>
  </si>
  <si>
    <t>配賦基準値マスタ</t>
  </si>
  <si>
    <t>GLHFKMST</t>
  </si>
  <si>
    <t>GLHFBMST</t>
  </si>
  <si>
    <t>配賦処理実行マスタ</t>
  </si>
  <si>
    <t>GLHFAMST</t>
  </si>
  <si>
    <t>配賦処理実行名称マスタ</t>
  </si>
  <si>
    <t>GLHFNMST</t>
  </si>
  <si>
    <t>配賦先マスタ</t>
  </si>
  <si>
    <t>GLHFDMST</t>
  </si>
  <si>
    <t>配賦用仕訳ワーク</t>
  </si>
  <si>
    <t>GLHSWWRK</t>
  </si>
  <si>
    <t>配賦用中間ワーク</t>
  </si>
  <si>
    <t>GLHFCWRK</t>
  </si>
  <si>
    <t>不良債権ヘッダトラン</t>
  </si>
  <si>
    <t>ARFSHTRN</t>
  </si>
  <si>
    <t>不良債権入金予定トラン</t>
  </si>
  <si>
    <t>ARFSMTRN</t>
  </si>
  <si>
    <t>部門セキュリティマスタ</t>
  </si>
  <si>
    <t>ACBSCMST</t>
  </si>
  <si>
    <t>ACHKMMST</t>
  </si>
  <si>
    <t>補助科目名称マスタ</t>
  </si>
  <si>
    <t>ACHKNMST</t>
  </si>
  <si>
    <t>明細摘要マスタ</t>
  </si>
  <si>
    <t>ACTKMMST</t>
  </si>
  <si>
    <t>予算マスタ</t>
  </si>
  <si>
    <t>GLYSNMST</t>
  </si>
  <si>
    <t>予算名称マスタ</t>
  </si>
  <si>
    <t>GLYNNMST</t>
  </si>
  <si>
    <t>予測行数</t>
    <rPh sb="0" eb="2">
      <t>ヨソク</t>
    </rPh>
    <rPh sb="2" eb="4">
      <t>ギョウスウ</t>
    </rPh>
    <phoneticPr fontId="1"/>
  </si>
  <si>
    <t>必要なサイズ</t>
    <rPh sb="0" eb="2">
      <t>ヒツヨウ</t>
    </rPh>
    <phoneticPr fontId="1"/>
  </si>
  <si>
    <t>(MB)</t>
    <phoneticPr fontId="1"/>
  </si>
  <si>
    <t>必要ディスク容量</t>
  </si>
  <si>
    <t>GB</t>
  </si>
  <si>
    <t>＜業務分析＞</t>
  </si>
  <si>
    <t>勘定科目数</t>
    <rPh sb="0" eb="2">
      <t>カンジョウ</t>
    </rPh>
    <rPh sb="2" eb="5">
      <t>カモクスウ</t>
    </rPh>
    <phoneticPr fontId="9"/>
  </si>
  <si>
    <t>①</t>
    <phoneticPr fontId="9"/>
  </si>
  <si>
    <t>②</t>
    <phoneticPr fontId="9"/>
  </si>
  <si>
    <t>仕訳部門数</t>
    <rPh sb="0" eb="2">
      <t>シワケ</t>
    </rPh>
    <rPh sb="2" eb="5">
      <t>ブモンスウ</t>
    </rPh>
    <phoneticPr fontId="9"/>
  </si>
  <si>
    <t>③</t>
    <phoneticPr fontId="9"/>
  </si>
  <si>
    <t xml:space="preserve"> 機能１設定数</t>
    <rPh sb="1" eb="3">
      <t>キノウ</t>
    </rPh>
    <rPh sb="4" eb="6">
      <t>セッテイ</t>
    </rPh>
    <rPh sb="6" eb="7">
      <t>スウ</t>
    </rPh>
    <phoneticPr fontId="9"/>
  </si>
  <si>
    <t xml:space="preserve"> 機能２設定数</t>
    <rPh sb="1" eb="3">
      <t>キノウ</t>
    </rPh>
    <rPh sb="4" eb="6">
      <t>セッテイ</t>
    </rPh>
    <rPh sb="6" eb="7">
      <t>スウ</t>
    </rPh>
    <phoneticPr fontId="9"/>
  </si>
  <si>
    <t xml:space="preserve"> 機能３設定数</t>
    <rPh sb="1" eb="3">
      <t>キノウ</t>
    </rPh>
    <rPh sb="4" eb="6">
      <t>セッテイ</t>
    </rPh>
    <rPh sb="6" eb="7">
      <t>スウ</t>
    </rPh>
    <phoneticPr fontId="9"/>
  </si>
  <si>
    <t xml:space="preserve"> 機能４設定数</t>
    <rPh sb="1" eb="3">
      <t>キノウ</t>
    </rPh>
    <rPh sb="4" eb="6">
      <t>セッテイ</t>
    </rPh>
    <rPh sb="6" eb="7">
      <t>スウ</t>
    </rPh>
    <phoneticPr fontId="9"/>
  </si>
  <si>
    <t xml:space="preserve"> 機能コード設定科目数</t>
    <rPh sb="1" eb="3">
      <t>キノウ</t>
    </rPh>
    <rPh sb="6" eb="8">
      <t>セッテイ</t>
    </rPh>
    <rPh sb="8" eb="11">
      <t>カモクスウ</t>
    </rPh>
    <phoneticPr fontId="9"/>
  </si>
  <si>
    <t>残高レコード想定数（自動）</t>
    <rPh sb="0" eb="2">
      <t>ザンダカ</t>
    </rPh>
    <rPh sb="6" eb="8">
      <t>ソウテイ</t>
    </rPh>
    <rPh sb="8" eb="9">
      <t>テイスウ</t>
    </rPh>
    <rPh sb="10" eb="12">
      <t>ジドウ</t>
    </rPh>
    <phoneticPr fontId="9"/>
  </si>
  <si>
    <t>④</t>
    <phoneticPr fontId="9"/>
  </si>
  <si>
    <t>⑤</t>
    <phoneticPr fontId="9"/>
  </si>
  <si>
    <t>明細データ保存年数</t>
    <rPh sb="0" eb="2">
      <t>メイサイ</t>
    </rPh>
    <rPh sb="5" eb="7">
      <t>ホゾン</t>
    </rPh>
    <rPh sb="7" eb="9">
      <t>ネンスウ</t>
    </rPh>
    <phoneticPr fontId="9"/>
  </si>
  <si>
    <t>残高データ保存年数</t>
    <rPh sb="0" eb="2">
      <t>ザンダカ</t>
    </rPh>
    <rPh sb="5" eb="7">
      <t>ホゾン</t>
    </rPh>
    <rPh sb="7" eb="9">
      <t>ネンスウ</t>
    </rPh>
    <phoneticPr fontId="9"/>
  </si>
  <si>
    <t>月間配賦処理件数</t>
    <rPh sb="0" eb="2">
      <t>ゲッカン</t>
    </rPh>
    <rPh sb="2" eb="4">
      <t>ハイフ</t>
    </rPh>
    <rPh sb="4" eb="6">
      <t>ショリ</t>
    </rPh>
    <rPh sb="6" eb="8">
      <t>ケンスウ</t>
    </rPh>
    <phoneticPr fontId="9"/>
  </si>
  <si>
    <t>予実管理部門数</t>
    <rPh sb="0" eb="2">
      <t>ヨジツ</t>
    </rPh>
    <rPh sb="2" eb="4">
      <t>カンリ</t>
    </rPh>
    <rPh sb="4" eb="7">
      <t>ブモンスウ</t>
    </rPh>
    <phoneticPr fontId="9"/>
  </si>
  <si>
    <t>プロジェクト管理数</t>
    <rPh sb="6" eb="8">
      <t>カンリ</t>
    </rPh>
    <rPh sb="8" eb="9">
      <t>スウ</t>
    </rPh>
    <phoneticPr fontId="9"/>
  </si>
  <si>
    <t xml:space="preserve">  計算して合計して下さい。</t>
    <rPh sb="2" eb="4">
      <t>ケイサン</t>
    </rPh>
    <rPh sb="6" eb="8">
      <t>ゴウケイ</t>
    </rPh>
    <rPh sb="10" eb="11">
      <t>クダ</t>
    </rPh>
    <phoneticPr fontId="9"/>
  </si>
  <si>
    <t>仕入先件数</t>
  </si>
  <si>
    <t>GLHFSMST</t>
    <phoneticPr fontId="1"/>
  </si>
  <si>
    <t>月間支払伝票件数</t>
    <rPh sb="2" eb="4">
      <t>シハライ</t>
    </rPh>
    <rPh sb="4" eb="6">
      <t>デンピョウ</t>
    </rPh>
    <phoneticPr fontId="1"/>
  </si>
  <si>
    <t>伝票平均明細件数</t>
    <rPh sb="0" eb="2">
      <t>デンピョウ</t>
    </rPh>
    <phoneticPr fontId="1"/>
  </si>
  <si>
    <t>伝票番号発番マスタ</t>
    <phoneticPr fontId="1"/>
  </si>
  <si>
    <t>債務伝票ヘッダトラン</t>
    <phoneticPr fontId="1"/>
  </si>
  <si>
    <t>月間仕訳（会計伝票のみ）明細件数</t>
    <rPh sb="0" eb="2">
      <t>ゲッカン</t>
    </rPh>
    <rPh sb="2" eb="4">
      <t>シワケ</t>
    </rPh>
    <rPh sb="5" eb="7">
      <t>カイケイ</t>
    </rPh>
    <rPh sb="7" eb="9">
      <t>デンピョウ</t>
    </rPh>
    <rPh sb="12" eb="14">
      <t>メイサイ</t>
    </rPh>
    <rPh sb="14" eb="16">
      <t>ケンスウ</t>
    </rPh>
    <phoneticPr fontId="9"/>
  </si>
  <si>
    <t>平均行サイズ
(インデックス領域)</t>
    <rPh sb="0" eb="2">
      <t>ヘイキン</t>
    </rPh>
    <rPh sb="2" eb="3">
      <t>ギョウ</t>
    </rPh>
    <rPh sb="14" eb="16">
      <t>リョウイキ</t>
    </rPh>
    <phoneticPr fontId="1"/>
  </si>
  <si>
    <t>平均行サイズ
(データ領域)</t>
    <rPh sb="0" eb="2">
      <t>ヘイキン</t>
    </rPh>
    <rPh sb="2" eb="3">
      <t>ギョウ</t>
    </rPh>
    <rPh sb="11" eb="13">
      <t>リョウイキ</t>
    </rPh>
    <phoneticPr fontId="1"/>
  </si>
  <si>
    <t>システムデータ領域</t>
    <rPh sb="7" eb="9">
      <t>リョウイキ</t>
    </rPh>
    <phoneticPr fontId="1"/>
  </si>
  <si>
    <t>データアクセスログ</t>
    <phoneticPr fontId="1"/>
  </si>
  <si>
    <t xml:space="preserve">  ＜支払管理＞</t>
    <phoneticPr fontId="1"/>
  </si>
  <si>
    <t xml:space="preserve">  ＜債権管理＞</t>
    <rPh sb="3" eb="5">
      <t>サイケン</t>
    </rPh>
    <phoneticPr fontId="1"/>
  </si>
  <si>
    <t>※会社１社分の計算です。複数社ある場合には、別々に</t>
    <rPh sb="1" eb="3">
      <t>カイシャ</t>
    </rPh>
    <rPh sb="4" eb="5">
      <t>シャ</t>
    </rPh>
    <rPh sb="5" eb="6">
      <t>ブン</t>
    </rPh>
    <rPh sb="7" eb="9">
      <t>ケイサン</t>
    </rPh>
    <rPh sb="22" eb="24">
      <t>ベツベツ</t>
    </rPh>
    <phoneticPr fontId="9"/>
  </si>
  <si>
    <t>ＣＦ状態管理マスタ</t>
    <phoneticPr fontId="1"/>
  </si>
  <si>
    <t>GLCFJMST</t>
    <phoneticPr fontId="1"/>
  </si>
  <si>
    <t>残高拡張マスタ</t>
    <phoneticPr fontId="1"/>
  </si>
  <si>
    <t>GLZAKMST</t>
    <phoneticPr fontId="1"/>
  </si>
  <si>
    <t>取引先・社員残高拡張マスタ</t>
    <phoneticPr fontId="1"/>
  </si>
  <si>
    <t>GLZNKMST</t>
    <phoneticPr fontId="1"/>
  </si>
  <si>
    <t>オプションツール利用マスタ</t>
    <phoneticPr fontId="1"/>
  </si>
  <si>
    <t>CMOTRMST</t>
    <phoneticPr fontId="1"/>
  </si>
  <si>
    <t>SSCM</t>
    <phoneticPr fontId="1"/>
  </si>
  <si>
    <t>オプションツールマスタ</t>
    <phoneticPr fontId="1"/>
  </si>
  <si>
    <t>CMOTLMST</t>
    <phoneticPr fontId="1"/>
  </si>
  <si>
    <t>CMDACLOG</t>
    <phoneticPr fontId="1"/>
  </si>
  <si>
    <t>GLRVSMST</t>
    <phoneticPr fontId="1"/>
  </si>
  <si>
    <t>為替評価替仕訳マスタ</t>
    <phoneticPr fontId="1"/>
  </si>
  <si>
    <t>為替評価替実行トラン</t>
    <phoneticPr fontId="1"/>
  </si>
  <si>
    <t>GLREVTRN</t>
    <phoneticPr fontId="1"/>
  </si>
  <si>
    <t>為替評価替中間ワーク</t>
    <phoneticPr fontId="1"/>
  </si>
  <si>
    <t>GLRVCWRK</t>
    <phoneticPr fontId="1"/>
  </si>
  <si>
    <t>為替評価替仕訳ワーク</t>
    <phoneticPr fontId="1"/>
  </si>
  <si>
    <t>GLRVSWRK</t>
    <phoneticPr fontId="1"/>
  </si>
  <si>
    <t>非同期ステータスワーク</t>
    <phoneticPr fontId="1"/>
  </si>
  <si>
    <t>CMASTWRK</t>
    <phoneticPr fontId="1"/>
  </si>
  <si>
    <t>サービス名称マスタ</t>
    <phoneticPr fontId="1"/>
  </si>
  <si>
    <t>CMSVNMST</t>
    <phoneticPr fontId="1"/>
  </si>
  <si>
    <t>並行動作不可サービスマスタ</t>
    <phoneticPr fontId="1"/>
  </si>
  <si>
    <t>CMPNSMST</t>
    <phoneticPr fontId="1"/>
  </si>
  <si>
    <t>出力コントロールヘッダマスタ</t>
    <phoneticPr fontId="1"/>
  </si>
  <si>
    <t>GLOCHMST</t>
    <phoneticPr fontId="1"/>
  </si>
  <si>
    <t>月間ワークフロー承認伝票数</t>
    <rPh sb="0" eb="2">
      <t>ゲッカン</t>
    </rPh>
    <rPh sb="8" eb="10">
      <t>ショウニン</t>
    </rPh>
    <rPh sb="10" eb="12">
      <t>デンピョウ</t>
    </rPh>
    <rPh sb="12" eb="13">
      <t>スウ</t>
    </rPh>
    <phoneticPr fontId="9"/>
  </si>
  <si>
    <t>相殺伝票件数</t>
    <rPh sb="0" eb="2">
      <t>ソウサイ</t>
    </rPh>
    <phoneticPr fontId="9"/>
  </si>
  <si>
    <r>
      <t xml:space="preserve">SuperStream-NX </t>
    </r>
    <r>
      <rPr>
        <b/>
        <sz val="20"/>
        <rFont val="ＭＳ Ｐゴシック"/>
        <family val="3"/>
        <charset val="128"/>
      </rPr>
      <t>統合会計</t>
    </r>
    <rPh sb="15" eb="17">
      <t>トウゴウ</t>
    </rPh>
    <rPh sb="17" eb="19">
      <t>カイケイ</t>
    </rPh>
    <phoneticPr fontId="4"/>
  </si>
  <si>
    <t>※証憑機能（添付ファイル）は上記に含まれておりません。</t>
    <rPh sb="1" eb="3">
      <t>ショウヒョウ</t>
    </rPh>
    <rPh sb="3" eb="5">
      <t>キノウ</t>
    </rPh>
    <rPh sb="6" eb="8">
      <t>テンプ</t>
    </rPh>
    <rPh sb="14" eb="16">
      <t>ジョウキ</t>
    </rPh>
    <rPh sb="17" eb="18">
      <t>フク</t>
    </rPh>
    <phoneticPr fontId="9"/>
  </si>
  <si>
    <t>　管理する場合はWebServer側のDisk容量として別途計算を</t>
    <rPh sb="1" eb="3">
      <t>カンリ</t>
    </rPh>
    <rPh sb="5" eb="7">
      <t>バアイ</t>
    </rPh>
    <rPh sb="17" eb="18">
      <t>ガワ</t>
    </rPh>
    <rPh sb="23" eb="25">
      <t>ヨウリョウ</t>
    </rPh>
    <rPh sb="28" eb="30">
      <t>ベット</t>
    </rPh>
    <rPh sb="30" eb="32">
      <t>ケイサン</t>
    </rPh>
    <phoneticPr fontId="9"/>
  </si>
  <si>
    <t>　お願いします</t>
    <rPh sb="2" eb="3">
      <t>ネガ</t>
    </rPh>
    <phoneticPr fontId="9"/>
  </si>
  <si>
    <t>伝票グループマスタ</t>
    <phoneticPr fontId="9"/>
  </si>
  <si>
    <t>業務共通ログヘッダワーク</t>
    <phoneticPr fontId="9"/>
  </si>
  <si>
    <t>債権伝票パターン入金予定明細マスタ</t>
    <phoneticPr fontId="9"/>
  </si>
  <si>
    <t>債務伝票パターン支払明細マスタ</t>
    <phoneticPr fontId="9"/>
  </si>
  <si>
    <t>仮払・申請ヘッダトラン</t>
    <phoneticPr fontId="9"/>
  </si>
  <si>
    <t>仕訳パターンヘッダマスタ</t>
    <phoneticPr fontId="9"/>
  </si>
  <si>
    <t>ACREVTRN</t>
  </si>
  <si>
    <t>ACTSCMST</t>
  </si>
  <si>
    <t>取引先セキュリティ対照マスタ</t>
  </si>
  <si>
    <t>仕訳伝票ヘッダワーク</t>
  </si>
  <si>
    <t>GLSWHWRK</t>
  </si>
  <si>
    <t>仕訳伝票明細ワーク</t>
  </si>
  <si>
    <t>GLSWMWRK</t>
  </si>
  <si>
    <t>残高ワーク</t>
  </si>
  <si>
    <t>GLZANWRK</t>
  </si>
  <si>
    <t>残高拡張ワーク</t>
  </si>
  <si>
    <t>GLZAKWRK</t>
  </si>
  <si>
    <t>仕訳伝票履歴ヘッダトラン</t>
  </si>
  <si>
    <t>仕訳伝票履歴明細トラン</t>
  </si>
  <si>
    <t>GLSHMTRN</t>
  </si>
  <si>
    <t>GLHSGMST</t>
  </si>
  <si>
    <t>残高確認書本文マスタ</t>
  </si>
  <si>
    <t>入金予定・債権明細消込実績紐付トラン</t>
  </si>
  <si>
    <t>ARNKLTRN</t>
  </si>
  <si>
    <t>本支店仕訳伝票ヘッダトラン</t>
  </si>
  <si>
    <t>本支店仕訳伝票明細トラン</t>
  </si>
  <si>
    <t>GLHSMTRN</t>
  </si>
  <si>
    <t>ACTHGMST</t>
  </si>
  <si>
    <t>取引先グループ名称マスタ</t>
  </si>
  <si>
    <t>ACTGNMST</t>
  </si>
  <si>
    <t>取引先階層マスタ</t>
  </si>
  <si>
    <t>ACTHKMST</t>
  </si>
  <si>
    <t>取引先階層名称マスタ</t>
  </si>
  <si>
    <t>ACTKNMST</t>
  </si>
  <si>
    <t>ユーザーグループ別業務カテゴリ定義マスタ</t>
  </si>
  <si>
    <t>ユーザーグループ別業務機能カテゴリ定義マスタ</t>
  </si>
  <si>
    <t>CMUGFMST</t>
  </si>
  <si>
    <t>本支店科目対応マスタ</t>
  </si>
  <si>
    <t>GLHSKMST</t>
  </si>
  <si>
    <t>メールメッセージマスタ</t>
  </si>
  <si>
    <t>メール予約語マスタ</t>
  </si>
  <si>
    <t>CMMYGMST</t>
  </si>
  <si>
    <t>入力締マスタ</t>
  </si>
  <si>
    <t>取引先・社員残高ワーク</t>
  </si>
  <si>
    <t>GLZNTWRK</t>
  </si>
  <si>
    <t>取引先・社員残高拡張ワーク</t>
  </si>
  <si>
    <t>GLZNKWRK</t>
  </si>
  <si>
    <t>前払一括計上ヘッダトラン</t>
  </si>
  <si>
    <t>前払一括計上明細トラン</t>
  </si>
  <si>
    <t>債権締次管理マスタ</t>
  </si>
  <si>
    <t>請求№発番管理マスタ</t>
  </si>
  <si>
    <t>ARSHDTRN</t>
  </si>
  <si>
    <t>債権計上明細トラン</t>
  </si>
  <si>
    <t>ARSMSTRN</t>
  </si>
  <si>
    <t>債権締次残高マスタ</t>
  </si>
  <si>
    <t>ARSKSMST</t>
  </si>
  <si>
    <t>締次債権伝票ヘッダワーク</t>
  </si>
  <si>
    <t>ARSKHWRK</t>
  </si>
  <si>
    <t>締次債権伝票入金予定明細ワーク</t>
  </si>
  <si>
    <t>ARSKNWRK</t>
  </si>
  <si>
    <t>締次債権伝票明細ワーク</t>
  </si>
  <si>
    <t>ARSKMWRK</t>
  </si>
  <si>
    <t>締次債権計上ヘッダワーク</t>
  </si>
  <si>
    <t>ARSSHWRK</t>
  </si>
  <si>
    <t>締次債権計上明細ワーク</t>
  </si>
  <si>
    <t>ARSSMWRK</t>
  </si>
  <si>
    <t>締次債権計上ヘッダトラン</t>
  </si>
  <si>
    <t>ARSSHTRN</t>
  </si>
  <si>
    <t>締次債権計上明細トラン</t>
  </si>
  <si>
    <t>ARSSMTRN</t>
  </si>
  <si>
    <t>締次相殺債権計上明細トラン</t>
  </si>
  <si>
    <t>ARSSOTRN</t>
  </si>
  <si>
    <t>前受金消込債権計上明細トラン</t>
  </si>
  <si>
    <t>ACBKSMST</t>
  </si>
  <si>
    <t>部門別科目セキュリティグループ名称マスタ</t>
  </si>
  <si>
    <t>ACBKNMST</t>
  </si>
  <si>
    <t>部門別科目セキュリティ科目マスタ</t>
  </si>
  <si>
    <t>ACBKKMST</t>
  </si>
  <si>
    <t>部門別科目セキュリティ部門マスタ</t>
  </si>
  <si>
    <t>ACBKBMST</t>
  </si>
  <si>
    <t>請求№接頭辞マスタ</t>
  </si>
  <si>
    <t>前払一括計上実績トラン</t>
  </si>
  <si>
    <t>APMBJTRN</t>
  </si>
  <si>
    <t>ZANTOTAL_GLZANMST_TEMP</t>
  </si>
  <si>
    <t>残高集計・科目マスタテンポラリ</t>
  </si>
  <si>
    <t>ZANTOTAL_KMK_TEMP</t>
  </si>
  <si>
    <t>元帳・仕訳伝票明細トランテンポラリ</t>
  </si>
  <si>
    <t>LEDGER_GLSWMTRN_TEMP</t>
  </si>
  <si>
    <t>税処理コード切替マスタ</t>
  </si>
  <si>
    <t>CMOSSMST</t>
  </si>
  <si>
    <t>ワークフロー対象伝票ワーク</t>
  </si>
  <si>
    <t>ACWTDWRK</t>
  </si>
  <si>
    <t>消費税表示設定マスタ</t>
  </si>
  <si>
    <t>ACZHSMST</t>
  </si>
  <si>
    <t>振替グループマスタ</t>
  </si>
  <si>
    <t>会社グループ内訳マスタ</t>
  </si>
  <si>
    <t>会社間取引処理パターンマスタ</t>
  </si>
  <si>
    <t>会社間取引振替科目マスタ</t>
  </si>
  <si>
    <t>ACKFKMST</t>
  </si>
  <si>
    <t>会社間取引部門グループマスタ</t>
  </si>
  <si>
    <t>ACKBGMST</t>
  </si>
  <si>
    <t>会社間取引部門グループ内訳マスタ</t>
  </si>
  <si>
    <t>会社間取引振替仕訳マスタ</t>
  </si>
  <si>
    <t>会社間取引管理マスタ</t>
  </si>
  <si>
    <t>会社間仕訳伝票ヘッダトラン</t>
  </si>
  <si>
    <t>GLKSHTRN</t>
  </si>
  <si>
    <t>会社間仕訳伝票明細トラン</t>
  </si>
  <si>
    <t>GLKSMTRN</t>
  </si>
  <si>
    <t>会社間債務伝票ヘッダトラン</t>
  </si>
  <si>
    <t>APKPHTRN</t>
  </si>
  <si>
    <t>会社間債務伝票支払明細トラン</t>
  </si>
  <si>
    <t>APKPSTRN</t>
  </si>
  <si>
    <t>会社間債務伝票明細トラン</t>
  </si>
  <si>
    <t>APKPMTRN</t>
  </si>
  <si>
    <t>会社間仮払・申請ヘッダトラン</t>
  </si>
  <si>
    <t>APKKSTRN</t>
  </si>
  <si>
    <t>会社間伝票紐付トラン</t>
  </si>
  <si>
    <t>ACDLKTRN</t>
  </si>
  <si>
    <t>ログインログ</t>
  </si>
  <si>
    <t>CMAUTLOG</t>
  </si>
  <si>
    <t>画面起動ログ</t>
  </si>
  <si>
    <t>CMPAGLOG</t>
  </si>
  <si>
    <t>サービス実行ログ</t>
  </si>
  <si>
    <t>CMCOMLOG</t>
  </si>
  <si>
    <t>対象締日トラン</t>
  </si>
  <si>
    <t>SSAC</t>
    <phoneticPr fontId="9"/>
  </si>
  <si>
    <t>SSCM</t>
    <phoneticPr fontId="9"/>
  </si>
  <si>
    <t>債権計上ヘッダトラン</t>
    <phoneticPr fontId="9"/>
  </si>
  <si>
    <t>債権債務為替評価替実行トラン</t>
    <phoneticPr fontId="9"/>
  </si>
  <si>
    <t>取引先セキュリティマスタ</t>
    <phoneticPr fontId="9"/>
  </si>
  <si>
    <t>残高集計・残高マスタテンポラリ</t>
    <phoneticPr fontId="9"/>
  </si>
  <si>
    <t>銀行振込先区分判定マスタ</t>
    <phoneticPr fontId="9"/>
  </si>
  <si>
    <t>APBFKMST</t>
    <phoneticPr fontId="9"/>
  </si>
  <si>
    <t>ACREMTRN</t>
    <phoneticPr fontId="9"/>
  </si>
  <si>
    <t>ACKSCMST</t>
    <phoneticPr fontId="9"/>
  </si>
  <si>
    <t>ACTSTMST</t>
    <phoneticPr fontId="9"/>
  </si>
  <si>
    <t>GLSHHTRN</t>
    <phoneticPr fontId="9"/>
  </si>
  <si>
    <t>本支店別伝票発番グループマスタ</t>
    <phoneticPr fontId="9"/>
  </si>
  <si>
    <t>GLHBNMST</t>
    <phoneticPr fontId="9"/>
  </si>
  <si>
    <t>GLHSHTRN</t>
    <phoneticPr fontId="9"/>
  </si>
  <si>
    <t>ACTHSMST</t>
    <phoneticPr fontId="9"/>
  </si>
  <si>
    <t>ACUDGMST</t>
    <phoneticPr fontId="9"/>
  </si>
  <si>
    <t>CMUGCMST</t>
    <phoneticPr fontId="9"/>
  </si>
  <si>
    <t>ユーザーグループマスタ</t>
    <phoneticPr fontId="9"/>
  </si>
  <si>
    <t>サービス定義マスタ</t>
    <phoneticPr fontId="9"/>
  </si>
  <si>
    <t>CMMMGMST</t>
    <phoneticPr fontId="9"/>
  </si>
  <si>
    <t>ACNSMMST</t>
    <phoneticPr fontId="9"/>
  </si>
  <si>
    <t>APMBHTRN</t>
    <phoneticPr fontId="9"/>
  </si>
  <si>
    <t>ARSIMMST</t>
    <phoneticPr fontId="9"/>
  </si>
  <si>
    <t>ARSNKMST</t>
    <phoneticPr fontId="9"/>
  </si>
  <si>
    <t>債権伝票明細トラン</t>
    <phoneticPr fontId="9"/>
  </si>
  <si>
    <t>部門別科目セキュリティグループマスタ</t>
    <phoneticPr fontId="9"/>
  </si>
  <si>
    <t>ARMKSTRN</t>
    <phoneticPr fontId="9"/>
  </si>
  <si>
    <t>ARSNSMST</t>
    <phoneticPr fontId="9"/>
  </si>
  <si>
    <t>ACZCGMST</t>
    <phoneticPr fontId="9"/>
  </si>
  <si>
    <t>出力制限設定マスタ</t>
    <phoneticPr fontId="9"/>
  </si>
  <si>
    <t>CMFGRMST</t>
    <phoneticPr fontId="9"/>
  </si>
  <si>
    <t>CMKGUMST</t>
    <phoneticPr fontId="9"/>
  </si>
  <si>
    <t>会社間取引　する：1／しない：0</t>
    <rPh sb="0" eb="2">
      <t>カイシャ</t>
    </rPh>
    <rPh sb="2" eb="3">
      <t>カン</t>
    </rPh>
    <rPh sb="3" eb="5">
      <t>トリヒキ</t>
    </rPh>
    <phoneticPr fontId="9"/>
  </si>
  <si>
    <t>債権締処理　使用する：1／使用しない：0</t>
    <rPh sb="0" eb="2">
      <t>サイケン</t>
    </rPh>
    <rPh sb="2" eb="3">
      <t>シメ</t>
    </rPh>
    <rPh sb="3" eb="5">
      <t>ショリ</t>
    </rPh>
    <rPh sb="6" eb="8">
      <t>シヨウ</t>
    </rPh>
    <rPh sb="13" eb="15">
      <t>シヨウ</t>
    </rPh>
    <phoneticPr fontId="9"/>
  </si>
  <si>
    <t>ACKTSMST</t>
    <phoneticPr fontId="9"/>
  </si>
  <si>
    <t>ACKFSMST</t>
    <phoneticPr fontId="9"/>
  </si>
  <si>
    <t>ACBGUMST</t>
    <phoneticPr fontId="9"/>
  </si>
  <si>
    <t>ACKTKMST</t>
    <phoneticPr fontId="9"/>
  </si>
  <si>
    <t>仕訳明細件数に対する会社間取引の割合</t>
    <rPh sb="0" eb="2">
      <t>シワケ</t>
    </rPh>
    <rPh sb="2" eb="4">
      <t>メイサイ</t>
    </rPh>
    <rPh sb="4" eb="6">
      <t>ケンスウ</t>
    </rPh>
    <rPh sb="7" eb="8">
      <t>タイ</t>
    </rPh>
    <rPh sb="10" eb="12">
      <t>カイシャ</t>
    </rPh>
    <rPh sb="12" eb="13">
      <t>カン</t>
    </rPh>
    <rPh sb="13" eb="15">
      <t>トリヒキ</t>
    </rPh>
    <rPh sb="16" eb="18">
      <t>ワリアイ</t>
    </rPh>
    <phoneticPr fontId="9"/>
  </si>
  <si>
    <t>債権伝票ヘッダトラン</t>
    <phoneticPr fontId="9"/>
  </si>
  <si>
    <t>承認ユーザーグループマスタ</t>
    <phoneticPr fontId="9"/>
  </si>
  <si>
    <t>代理承認者グループマスタ</t>
    <phoneticPr fontId="9"/>
  </si>
  <si>
    <t>定例支払支払明細マスタ</t>
    <phoneticPr fontId="9"/>
  </si>
  <si>
    <t>仕訳伝票ヘッダトラン</t>
    <phoneticPr fontId="9"/>
  </si>
  <si>
    <t>配賦基準分類マスタ</t>
    <phoneticPr fontId="9"/>
  </si>
  <si>
    <t>配賦元マスタ</t>
    <phoneticPr fontId="9"/>
  </si>
  <si>
    <t>補助科目マスタ</t>
    <phoneticPr fontId="9"/>
  </si>
  <si>
    <t>科目毎の平均補助科目数</t>
  </si>
  <si>
    <t>月間仕訳明細数に対する残高発生率</t>
    <rPh sb="0" eb="2">
      <t>ゲッカン</t>
    </rPh>
    <rPh sb="2" eb="4">
      <t>シワケ</t>
    </rPh>
    <rPh sb="4" eb="6">
      <t>メイサイ</t>
    </rPh>
    <rPh sb="6" eb="7">
      <t>スウ</t>
    </rPh>
    <rPh sb="8" eb="9">
      <t>タイ</t>
    </rPh>
    <rPh sb="11" eb="13">
      <t>ザンダカ</t>
    </rPh>
    <rPh sb="13" eb="15">
      <t>ハッセイ</t>
    </rPh>
    <rPh sb="15" eb="16">
      <t>リツ</t>
    </rPh>
    <phoneticPr fontId="9"/>
  </si>
  <si>
    <t>※④は月間の仕訳明細数に対する残高マスタの発生率を指定する</t>
    <rPh sb="3" eb="5">
      <t>ゲッカン</t>
    </rPh>
    <rPh sb="6" eb="8">
      <t>シワケ</t>
    </rPh>
    <rPh sb="8" eb="10">
      <t>メイサイ</t>
    </rPh>
    <rPh sb="10" eb="11">
      <t>スウ</t>
    </rPh>
    <rPh sb="12" eb="13">
      <t>タイ</t>
    </rPh>
    <rPh sb="15" eb="16">
      <t>ザン</t>
    </rPh>
    <rPh sb="16" eb="17">
      <t>ダカ</t>
    </rPh>
    <rPh sb="21" eb="23">
      <t>ハッセイ</t>
    </rPh>
    <rPh sb="23" eb="24">
      <t>リツ</t>
    </rPh>
    <rPh sb="25" eb="27">
      <t>シテイ</t>
    </rPh>
    <phoneticPr fontId="9"/>
  </si>
  <si>
    <t>　事により、月間の残高レコード数が自動計算されます。</t>
    <rPh sb="1" eb="2">
      <t>コト</t>
    </rPh>
    <rPh sb="6" eb="8">
      <t>ゲッカン</t>
    </rPh>
    <rPh sb="9" eb="11">
      <t>ザンダカ</t>
    </rPh>
    <rPh sb="15" eb="16">
      <t>スウ</t>
    </rPh>
    <rPh sb="17" eb="19">
      <t>ジドウ</t>
    </rPh>
    <rPh sb="19" eb="21">
      <t>ケイサン</t>
    </rPh>
    <phoneticPr fontId="9"/>
  </si>
  <si>
    <t>　実態にそぐわない場合には⑤に直接入力してください。</t>
    <rPh sb="1" eb="3">
      <t>ジッタイ</t>
    </rPh>
    <rPh sb="9" eb="11">
      <t>バアイ</t>
    </rPh>
    <rPh sb="15" eb="17">
      <t>チョクセツ</t>
    </rPh>
    <rPh sb="17" eb="19">
      <t>ニュウリョク</t>
    </rPh>
    <phoneticPr fontId="9"/>
  </si>
  <si>
    <t>月間債権計上(売上)伝票件数</t>
    <phoneticPr fontId="9"/>
  </si>
  <si>
    <t>債権債務為替評価替実行明細トラン</t>
    <phoneticPr fontId="9"/>
  </si>
  <si>
    <t>コード名称マスタ</t>
    <phoneticPr fontId="9"/>
  </si>
  <si>
    <t>ACCDNMST</t>
    <phoneticPr fontId="9"/>
  </si>
  <si>
    <t>債務締次管理マスタ</t>
    <phoneticPr fontId="9"/>
  </si>
  <si>
    <t>債務締次残高マスタ</t>
    <phoneticPr fontId="9"/>
  </si>
  <si>
    <t>APSZNMST</t>
    <phoneticPr fontId="9"/>
  </si>
  <si>
    <t>締次債務伝票支払明細ワーク</t>
    <phoneticPr fontId="9"/>
  </si>
  <si>
    <t>APSMSWRK</t>
    <phoneticPr fontId="9"/>
  </si>
  <si>
    <t>支払依頼金額保留トラン</t>
    <phoneticPr fontId="9"/>
  </si>
  <si>
    <t>APSIKTRN</t>
    <phoneticPr fontId="9"/>
  </si>
  <si>
    <t>債権債務為替評価替実行明細トラン（債務締次金額保留用）</t>
    <phoneticPr fontId="9"/>
  </si>
  <si>
    <t>ACRE2TRN</t>
    <phoneticPr fontId="9"/>
  </si>
  <si>
    <t>配賦用予算ワーク</t>
    <phoneticPr fontId="9"/>
  </si>
  <si>
    <t>GLHYSWRK</t>
    <phoneticPr fontId="9"/>
  </si>
  <si>
    <t>伝票グループ変換マスタ</t>
    <phoneticPr fontId="9"/>
  </si>
  <si>
    <t>ACDGCMST</t>
    <phoneticPr fontId="9"/>
  </si>
  <si>
    <t>CMSW2WRK</t>
    <phoneticPr fontId="9"/>
  </si>
  <si>
    <t>外部データ連携用仕訳伝票ワーク</t>
    <phoneticPr fontId="9"/>
  </si>
  <si>
    <t>外部データエラー用仕訳伝票ワーク</t>
    <phoneticPr fontId="9"/>
  </si>
  <si>
    <t>GLESWWRK</t>
    <phoneticPr fontId="9"/>
  </si>
  <si>
    <t>判定フラグマスタ</t>
    <phoneticPr fontId="9"/>
  </si>
  <si>
    <t>ＧＳＴ振分コード対応マスタ</t>
    <phoneticPr fontId="9"/>
  </si>
  <si>
    <t>GLGFWMST</t>
    <phoneticPr fontId="9"/>
  </si>
  <si>
    <t>GAIDATA_CHK_SWK_TEMP</t>
    <phoneticPr fontId="9"/>
  </si>
  <si>
    <t>外部データチェック用エラーテンポラリ</t>
    <phoneticPr fontId="9"/>
  </si>
  <si>
    <t>GAIDATA_CHK_ERR_TEMP</t>
    <phoneticPr fontId="9"/>
  </si>
  <si>
    <t>外部データ連携用仕訳伝票テンポラリ</t>
    <phoneticPr fontId="9"/>
  </si>
  <si>
    <t>GAIDATA_REN_SWK_TEMP</t>
    <phoneticPr fontId="9"/>
  </si>
  <si>
    <t>GAIDATA_REN_SWM_TEMP</t>
    <phoneticPr fontId="9"/>
  </si>
  <si>
    <t>債務締処理　使用する：1／使用しない：0</t>
    <rPh sb="0" eb="2">
      <t>サイム</t>
    </rPh>
    <rPh sb="2" eb="3">
      <t>シメ</t>
    </rPh>
    <rPh sb="3" eb="5">
      <t>ショリ</t>
    </rPh>
    <rPh sb="6" eb="8">
      <t>シヨウ</t>
    </rPh>
    <rPh sb="13" eb="15">
      <t>シヨウ</t>
    </rPh>
    <phoneticPr fontId="9"/>
  </si>
  <si>
    <t>GST申告書　使用する：1／使用しない：0</t>
    <rPh sb="3" eb="6">
      <t>シンコクショ</t>
    </rPh>
    <rPh sb="7" eb="9">
      <t>シヨウ</t>
    </rPh>
    <rPh sb="14" eb="16">
      <t>シヨウ</t>
    </rPh>
    <phoneticPr fontId="9"/>
  </si>
  <si>
    <t>データアクセスログ（No.293で計上）</t>
    <rPh sb="17" eb="19">
      <t>ケイジョウ</t>
    </rPh>
    <phoneticPr fontId="1"/>
  </si>
  <si>
    <t>APSIMMST</t>
    <phoneticPr fontId="9"/>
  </si>
  <si>
    <t>預り金科目マスタ</t>
    <phoneticPr fontId="9"/>
  </si>
  <si>
    <t>APAZKMST</t>
    <phoneticPr fontId="9"/>
  </si>
  <si>
    <t>SSAC</t>
    <phoneticPr fontId="9"/>
  </si>
  <si>
    <t>債務計上ヘッダトラン</t>
    <phoneticPr fontId="9"/>
  </si>
  <si>
    <t>APSHDTRN</t>
    <phoneticPr fontId="9"/>
  </si>
  <si>
    <t>締次債務伝票ヘッダワーク</t>
    <phoneticPr fontId="9"/>
  </si>
  <si>
    <t>APSMHWRK</t>
    <phoneticPr fontId="9"/>
  </si>
  <si>
    <t>締次債務伝票明細ワーク</t>
    <phoneticPr fontId="9"/>
  </si>
  <si>
    <t>APSMMWRK</t>
    <phoneticPr fontId="9"/>
  </si>
  <si>
    <t>支払依頼保留トラン</t>
    <phoneticPr fontId="9"/>
  </si>
  <si>
    <t>APSIHTRN</t>
    <phoneticPr fontId="9"/>
  </si>
  <si>
    <t>科目属性変更履歴マスタ</t>
    <phoneticPr fontId="9"/>
  </si>
  <si>
    <t>ACKZCMST</t>
    <phoneticPr fontId="9"/>
  </si>
  <si>
    <t>その他システム用仕訳ワーク</t>
    <phoneticPr fontId="9"/>
  </si>
  <si>
    <t>GLFSWWRK</t>
    <phoneticPr fontId="9"/>
  </si>
  <si>
    <t>ACFLGMST</t>
    <phoneticPr fontId="9"/>
  </si>
  <si>
    <t>ＧＳＴ対応マスタ</t>
    <phoneticPr fontId="9"/>
  </si>
  <si>
    <t>GLGSTMST</t>
    <phoneticPr fontId="9"/>
  </si>
  <si>
    <t>外部データチェック用仕訳伝票テンポラリ</t>
    <phoneticPr fontId="9"/>
  </si>
  <si>
    <t>外部データ連携用仕訳伝票明細テンポラリ</t>
    <phoneticPr fontId="9"/>
  </si>
  <si>
    <t>外部システム用伝票見出しワーク</t>
  </si>
  <si>
    <t>APGDHWRK</t>
  </si>
  <si>
    <t>外部システム用伝票明細ワーク</t>
  </si>
  <si>
    <t>APGDDWRK</t>
  </si>
  <si>
    <t>外部システム用伝票支払明細ワーク</t>
  </si>
  <si>
    <t>APGDSWRK</t>
  </si>
  <si>
    <t>外部システム用スポットワーク</t>
  </si>
  <si>
    <t>APGSPWRK</t>
  </si>
  <si>
    <t>外部システム用債務計上見出しワーク</t>
  </si>
  <si>
    <t>APGSHWRK</t>
  </si>
  <si>
    <t>外部システム用債務計上明細ワーク</t>
  </si>
  <si>
    <t>APGSDWRK</t>
  </si>
  <si>
    <t>外部データ連携用債務伝票ヘッダワーク</t>
  </si>
  <si>
    <t>APFSHWRK</t>
  </si>
  <si>
    <t>外部データ連携用債務伝票明細ワーク</t>
  </si>
  <si>
    <t>APFSMWRK</t>
  </si>
  <si>
    <t>外部データ連携用スポット支払先ワーク</t>
  </si>
  <si>
    <t>APFSPWRK</t>
  </si>
  <si>
    <t>外部データ連携用債務計上ヘッダワーク</t>
  </si>
  <si>
    <t>APFKHWRK</t>
  </si>
  <si>
    <t>外部データ連携用債務計上明細ワーク</t>
  </si>
  <si>
    <t>APFKMWRK</t>
  </si>
  <si>
    <t>外部データエラー用債務伝票ヘッダワーク</t>
  </si>
  <si>
    <t>APESHWRK</t>
  </si>
  <si>
    <t>外部データエラー用債務伝票明細ワーク</t>
  </si>
  <si>
    <t>APESMWRK</t>
  </si>
  <si>
    <t>外部データエラー用スポット支払先ワーク</t>
  </si>
  <si>
    <t>APESPWRK</t>
  </si>
  <si>
    <t>外部データエラー用債務計上ヘッダワーク</t>
  </si>
  <si>
    <t>APEKHWRK</t>
  </si>
  <si>
    <t>外部データエラー用債務計上明細ワーク</t>
  </si>
  <si>
    <t>APEKMWRK</t>
  </si>
  <si>
    <t>外部データチェック用本支店配下部門テンポラリ</t>
  </si>
  <si>
    <t>GAIDATA_CHK_HSTN_TEMP</t>
  </si>
  <si>
    <t>外部データチェック用債務伝票ヘッダテンポラリ</t>
  </si>
  <si>
    <t>GAIDATA_CHK_APSMH_TEMP</t>
  </si>
  <si>
    <t>外部データチェック用債務伝票明細テンポラリ</t>
  </si>
  <si>
    <t>GAIDATA_CHK_APSMM_TEMP</t>
  </si>
  <si>
    <t>外部データチェック用スポット支払先テンポラリ</t>
  </si>
  <si>
    <t>GAIDATA_CHK_APSPT_TEMP</t>
  </si>
  <si>
    <t>外部データチェック用債務計上ヘッダテンポラリ</t>
  </si>
  <si>
    <t>GAIDATA_CHK_APSHD_TEMP</t>
  </si>
  <si>
    <t>外部データチェック用債務計上明細テンポラリ</t>
  </si>
  <si>
    <t>GAIDATA_CHK_APSDT_TEMP</t>
  </si>
  <si>
    <t>外部データ連携用債務伝票ヘッダテンポラリ</t>
  </si>
  <si>
    <t>GAIDATA_REN_APSMH_TEMP</t>
  </si>
  <si>
    <t>外部データ連携用債務伝票明細テンポラリ</t>
  </si>
  <si>
    <t>GAIDATA_REN_APSMM_TEMP</t>
  </si>
  <si>
    <t>外部データ連携用スポット支払先テンポラリ</t>
  </si>
  <si>
    <t>GAIDATA_REN_APSPT_TEMP</t>
  </si>
  <si>
    <t>外部データ連携用債務計上ヘッダテンポラリ</t>
  </si>
  <si>
    <t>GAIDATA_REN_APSHD_TEMP</t>
  </si>
  <si>
    <t>外部データ連携用債務計上明細テンポラリ</t>
  </si>
  <si>
    <t>GAIDATA_REN_APSDT_TEMP</t>
  </si>
  <si>
    <t>外部データチェック用債務伝票支払明細テンポラリ</t>
  </si>
  <si>
    <t>GAIDATA_CHK_APSMS_TEMP</t>
  </si>
  <si>
    <t>外部データ連携用債務伝票支払明細テンポラリ</t>
  </si>
  <si>
    <t>GAIDATA_REN_APSMS_TEMP</t>
  </si>
  <si>
    <t>外部データエラー用債務伝票支払明細ワーク</t>
  </si>
  <si>
    <t>APESSWRK</t>
  </si>
  <si>
    <t>外部データ連携用債務伝票支払明細ワーク</t>
  </si>
  <si>
    <t>APFSSWRK</t>
  </si>
  <si>
    <t>残高集計・部門マスタテンポラリ</t>
  </si>
  <si>
    <t>ZANTOTAL_BUM_TEMP</t>
  </si>
  <si>
    <t>資金繰管理マスタ</t>
  </si>
  <si>
    <t>GLSGKMST</t>
  </si>
  <si>
    <t>GLSKMMST</t>
  </si>
  <si>
    <t>資金繰越マスタ</t>
  </si>
  <si>
    <t>GLSKKMST</t>
  </si>
  <si>
    <t>資金取引仕訳パターンマスタ</t>
  </si>
  <si>
    <t>GLSTSMST</t>
  </si>
  <si>
    <t>科目別資金科目マスタ</t>
  </si>
  <si>
    <t>GLKSKMST</t>
  </si>
  <si>
    <t>GLSGZMST</t>
  </si>
  <si>
    <t>資金繰日次残高マスタ</t>
  </si>
  <si>
    <t>GLSNZMST</t>
  </si>
  <si>
    <t>資金取引履歴トラン</t>
  </si>
  <si>
    <t>GLSTRTRN</t>
  </si>
  <si>
    <t>資金繰月次残高履歴マスタ</t>
  </si>
  <si>
    <t>GLSGRMST</t>
  </si>
  <si>
    <t>資金繰日次残高履歴マスタ</t>
  </si>
  <si>
    <t>GLSNRMST</t>
  </si>
  <si>
    <t>出力名称マスタ</t>
  </si>
  <si>
    <t>GLOPNMST</t>
  </si>
  <si>
    <t>支払調書種別マスタ</t>
  </si>
  <si>
    <t>APSSBMST</t>
  </si>
  <si>
    <t>支払調書細目マスタ</t>
  </si>
  <si>
    <t>APSSMMST</t>
  </si>
  <si>
    <t>控除科目マスタ</t>
  </si>
  <si>
    <t>APKKMMST</t>
  </si>
  <si>
    <t>控除金額マスタ</t>
  </si>
  <si>
    <t>APKKNMST</t>
  </si>
  <si>
    <t>支払控除修正トラン</t>
  </si>
  <si>
    <t>APSKSTRN</t>
  </si>
  <si>
    <t>会社間項目変換マスタ</t>
  </si>
  <si>
    <t>ACKICMST</t>
  </si>
  <si>
    <t>ＡＲ＋債権計上取込用ワーク1</t>
  </si>
  <si>
    <t>ARSI1WRK</t>
  </si>
  <si>
    <t>ＡＲ＋債権計上取込用ワーク2</t>
  </si>
  <si>
    <t>ARSI2WRK</t>
  </si>
  <si>
    <t>ＡＲ＋請求取込用ワーク</t>
  </si>
  <si>
    <t>ARSKYWRK</t>
  </si>
  <si>
    <t>外部データ連携用債権計上ヘッダワーク</t>
  </si>
  <si>
    <t>ARFKHWRK</t>
  </si>
  <si>
    <t>外部データ連携用債権計上明細ワーク</t>
  </si>
  <si>
    <t>ARFKMWRK</t>
  </si>
  <si>
    <t>外部データ連携用債権伝票ヘッダワーク</t>
  </si>
  <si>
    <t>ARFSHWRK</t>
  </si>
  <si>
    <t>外部データ連携用債権伝票入金予定明細ワーク</t>
  </si>
  <si>
    <t>ARFSNWRK</t>
  </si>
  <si>
    <t>外部データ連携用債権伝票明細ワーク</t>
  </si>
  <si>
    <t>ARFSMWRK</t>
  </si>
  <si>
    <t>外部データエラー用債権計上ヘッダワーク</t>
  </si>
  <si>
    <t>AREKHWRK</t>
  </si>
  <si>
    <t>外部データエラー用債権計上明細ワーク</t>
  </si>
  <si>
    <t>AREKMWRK</t>
  </si>
  <si>
    <t>外部データエラー用債権伝票ヘッダワーク</t>
  </si>
  <si>
    <t>ARESHWRK</t>
  </si>
  <si>
    <t>外部データエラー用債権伝票入金予定明細ワーク</t>
  </si>
  <si>
    <t>ARESNWRK</t>
  </si>
  <si>
    <t>外部データエラー用債権伝票明細ワーク</t>
  </si>
  <si>
    <t>ARESMWRK</t>
  </si>
  <si>
    <t>外部データチェック用債権伝票ヘッダテンポラリ</t>
  </si>
  <si>
    <t>GAIDATA_CHK_ARSKH_TEMP</t>
  </si>
  <si>
    <t>外部データチェック用債権伝票入金予定明細テンポラリ</t>
  </si>
  <si>
    <t>GAIDATA_CHK_ARSKN_TEMP</t>
  </si>
  <si>
    <t>外部データチェック用債権伝票明細テンポラリ</t>
  </si>
  <si>
    <t>GAIDATA_CHK_ARSKM_TEMP</t>
  </si>
  <si>
    <t>外部データチェック用債権計上ヘッダテンポラリ</t>
  </si>
  <si>
    <t>GAIDATA_CHK_ARSHD_TEMP</t>
  </si>
  <si>
    <t>外部データチェック用債権計上明細テンポラリ</t>
  </si>
  <si>
    <t>GAIDATA_CHK_ARSMS_TEMP</t>
  </si>
  <si>
    <t>外部データ連携用債権伝票ヘッダテンポラリ</t>
  </si>
  <si>
    <t>GAIDATA_REN_ARSKH_TEMP</t>
  </si>
  <si>
    <t>外部データ連携用債権伝票入金予定明細テンポラリ</t>
  </si>
  <si>
    <t>GAIDATA_REN_ARSKN_TEMP</t>
  </si>
  <si>
    <t>外部データ連携用債権伝票明細テンポラリ</t>
  </si>
  <si>
    <t>GAIDATA_REN_ARSKM_TEMP</t>
  </si>
  <si>
    <t>外部データ連携用債権計上ヘッダテンポラリ</t>
  </si>
  <si>
    <t>GAIDATA_REN_ARSHD_TEMP</t>
  </si>
  <si>
    <t>外部データ連携用債権計上明細テンポラリ</t>
  </si>
  <si>
    <t>GAIDATA_REN_ARSMS_TEMP</t>
  </si>
  <si>
    <t>外部データ変換用債権計上ヘッダテンポラリ</t>
  </si>
  <si>
    <t>GAIDATA_CVT_ARFKH_TEMP</t>
  </si>
  <si>
    <t>外部データ変換用債権計上明細テンポラリ</t>
  </si>
  <si>
    <t>GAIDATA_CVT_ARFKM_TEMP</t>
  </si>
  <si>
    <t>元号マスタ</t>
  </si>
  <si>
    <t>CMGENMST</t>
  </si>
  <si>
    <t>大量帳票出力対象マスタ</t>
  </si>
  <si>
    <t>CMTFOMST</t>
  </si>
  <si>
    <t>帳票名称マスタ</t>
  </si>
  <si>
    <t>CMFMNMST</t>
  </si>
  <si>
    <t>SSCM</t>
    <phoneticPr fontId="9"/>
  </si>
  <si>
    <t>SSAC</t>
    <phoneticPr fontId="9"/>
  </si>
  <si>
    <t>ACCSBMST</t>
  </si>
  <si>
    <t>コード種別名称マスタ</t>
  </si>
  <si>
    <t>ACCSNMST</t>
  </si>
  <si>
    <t>ACCTBMST</t>
  </si>
  <si>
    <t>コードテーブル名称マスタ</t>
  </si>
  <si>
    <t>ACCTNMST</t>
  </si>
  <si>
    <t>訪問先マスタ</t>
  </si>
  <si>
    <t>APHMSMST</t>
  </si>
  <si>
    <t>APRKTMST</t>
  </si>
  <si>
    <t>旅費規程金額マスタ</t>
  </si>
  <si>
    <t>APRKKMST</t>
  </si>
  <si>
    <t>経費精算費目マスタ</t>
  </si>
  <si>
    <t>APKSHMST</t>
  </si>
  <si>
    <t>経費精算項目名称１マスタ</t>
  </si>
  <si>
    <t>APKN1MST</t>
  </si>
  <si>
    <t>経費精算項目名称２マスタ</t>
  </si>
  <si>
    <t>APKN2MST</t>
  </si>
  <si>
    <t>経費精算項目名称３マスタ</t>
  </si>
  <si>
    <t>APKN3MST</t>
  </si>
  <si>
    <t>経費精算相手科目マスタ</t>
  </si>
  <si>
    <t>APKSAMST</t>
  </si>
  <si>
    <t>経費精算入力制御マスタ</t>
  </si>
  <si>
    <t>APKSIMST</t>
  </si>
  <si>
    <t>経費精算入力制御対象ユーザーマスタ</t>
  </si>
  <si>
    <t>APKIUMST</t>
  </si>
  <si>
    <t>簡易入力伝票パターングループマスタ</t>
  </si>
  <si>
    <t>ACKPGMST</t>
  </si>
  <si>
    <t>簡易入力伝票パターンヘッダマスタ</t>
  </si>
  <si>
    <t>ACKPHMST</t>
  </si>
  <si>
    <t>簡易入力伝票パターン支払明細マスタ</t>
  </si>
  <si>
    <t>ACKPSMST</t>
  </si>
  <si>
    <t>簡易入力伝票パターン明細マスタ</t>
  </si>
  <si>
    <t>ACKPMMST</t>
  </si>
  <si>
    <t>会計業務業務機能マスタ</t>
  </si>
  <si>
    <t>ACGGFMST</t>
  </si>
  <si>
    <t>証憑種類マスタ</t>
  </si>
  <si>
    <t>ACSHSMST</t>
  </si>
  <si>
    <t>証憑種類名称マスタ</t>
  </si>
  <si>
    <t>ACSSNMST</t>
  </si>
  <si>
    <t>下書番号発番管理マスタ</t>
  </si>
  <si>
    <t>ACDHKMST</t>
  </si>
  <si>
    <t>一時保管証憑番号発番管理マスタ</t>
  </si>
  <si>
    <t>ACSHKMST</t>
  </si>
  <si>
    <t>仮払・精算ヘッダトラン</t>
  </si>
  <si>
    <t>APSKHTRN</t>
  </si>
  <si>
    <t>仮払・精算明細トラン</t>
  </si>
  <si>
    <t>APSKMTRN</t>
  </si>
  <si>
    <t>経路情報トラン</t>
  </si>
  <si>
    <t>ACKRITRN</t>
  </si>
  <si>
    <t>仮払・精算明細下書ワーク</t>
  </si>
  <si>
    <t>APDKMWRK</t>
  </si>
  <si>
    <t>債務伝票明細下書ワーク</t>
  </si>
  <si>
    <t>APDSMWRK</t>
  </si>
  <si>
    <t>証憑一時保管ワーク</t>
  </si>
  <si>
    <t>ACSTSWRK</t>
  </si>
  <si>
    <t>コード種別マスタ</t>
    <phoneticPr fontId="9"/>
  </si>
  <si>
    <t>コードテーブルマスタ</t>
    <phoneticPr fontId="9"/>
  </si>
  <si>
    <t>旅費規程マスタ</t>
    <phoneticPr fontId="9"/>
  </si>
  <si>
    <t xml:space="preserve">  残高レコード想定数（手動）</t>
    <rPh sb="2" eb="4">
      <t>ザンダカ</t>
    </rPh>
    <rPh sb="8" eb="10">
      <t>ソウテイ</t>
    </rPh>
    <rPh sb="10" eb="11">
      <t>テイスウ</t>
    </rPh>
    <rPh sb="12" eb="14">
      <t>シュドウ</t>
    </rPh>
    <phoneticPr fontId="9"/>
  </si>
  <si>
    <t xml:space="preserve">  ＜データログ＞</t>
    <phoneticPr fontId="1"/>
  </si>
  <si>
    <t>使用する：1／使用しない：0</t>
    <rPh sb="0" eb="2">
      <t>シヨウ</t>
    </rPh>
    <rPh sb="7" eb="9">
      <t>シヨウ</t>
    </rPh>
    <phoneticPr fontId="9"/>
  </si>
  <si>
    <t>伝票平均明細件数</t>
    <phoneticPr fontId="9"/>
  </si>
  <si>
    <t>資金繰管理　する：1／しない：0</t>
    <rPh sb="0" eb="2">
      <t>シキン</t>
    </rPh>
    <rPh sb="2" eb="3">
      <t>クリ</t>
    </rPh>
    <rPh sb="3" eb="5">
      <t>カンリ</t>
    </rPh>
    <phoneticPr fontId="9"/>
  </si>
  <si>
    <t>仮消込伝票ヘッダトラン</t>
  </si>
  <si>
    <t>仮消込入金予定明細トラン</t>
  </si>
  <si>
    <t>仮消込債権明細トラン</t>
  </si>
  <si>
    <t>仮消込差額明細トラン</t>
  </si>
  <si>
    <t>電子申告項目設定マスタ</t>
  </si>
  <si>
    <t>電子申告項目集計マスタ（科目コード）</t>
  </si>
  <si>
    <t>表示項目テーブルマスタ</t>
  </si>
  <si>
    <t>表示項目テーブル名称マスタ</t>
  </si>
  <si>
    <t>表示項目マスタ</t>
  </si>
  <si>
    <t>表示項目名称マスタ</t>
  </si>
  <si>
    <t>債権表示項目設定マスタ</t>
  </si>
  <si>
    <t>債権表示項目設定(入金)マスタ</t>
  </si>
  <si>
    <t>債権表示項目設定(予定)マスタ</t>
  </si>
  <si>
    <t>ユーザー消込任意キートラン</t>
  </si>
  <si>
    <t>ユーザー消込任意キートラン（入金予定）</t>
  </si>
  <si>
    <t>ユーザー消込任意キートラン（債権明細）</t>
  </si>
  <si>
    <t>ユーザー消込任意キートラン（表示項目）</t>
  </si>
  <si>
    <t>ユーザー消込任意キートラン（データ）</t>
  </si>
  <si>
    <t>集金先処理設定マスタ</t>
  </si>
  <si>
    <t>集金先処理設定内訳マスタ</t>
  </si>
  <si>
    <t>ARTKHTRN</t>
  </si>
  <si>
    <t>ARTNYTRN</t>
  </si>
  <si>
    <t>ARTSKTRN</t>
  </si>
  <si>
    <t>ARTSGTRN</t>
  </si>
  <si>
    <t>GLDSSMST</t>
  </si>
  <si>
    <t>GLDSKMST</t>
  </si>
  <si>
    <t>ACDTLMST</t>
  </si>
  <si>
    <t>ACDTNMST</t>
  </si>
  <si>
    <t>ACDKMMST</t>
  </si>
  <si>
    <t>ACDKNMST</t>
  </si>
  <si>
    <t>ARDKSMST</t>
  </si>
  <si>
    <t>ARDNKMST</t>
  </si>
  <si>
    <t>ARDYTMST</t>
  </si>
  <si>
    <t>ARUKSTRN</t>
  </si>
  <si>
    <t>ARUYTTRN</t>
  </si>
  <si>
    <t>ARUSMTRN</t>
  </si>
  <si>
    <t>ARUHKTRN</t>
  </si>
  <si>
    <t>ARUDTTRN</t>
  </si>
  <si>
    <t>ARSHRMST</t>
  </si>
  <si>
    <t>ARSHUMST</t>
  </si>
  <si>
    <t>消費税申告項目マスタ</t>
  </si>
  <si>
    <t>消費税申告項目集計ヘッダトラン</t>
  </si>
  <si>
    <t>消費税申告項目集計マスタ（科目グループ）</t>
  </si>
  <si>
    <t>消費税申告項目集計マスタ（科目コード）</t>
  </si>
  <si>
    <t>消費税申告項目集計マスタ（税処理コード）</t>
  </si>
  <si>
    <t>消費税申告項目集計マスタ（内部科目コード）</t>
  </si>
  <si>
    <t>消費税申告項目集計マスタ（補助科目コード）</t>
  </si>
  <si>
    <t>消費税申告項目集計処理管理トラン</t>
  </si>
  <si>
    <t>消費税申告項目集計伝票履歴トラン</t>
  </si>
  <si>
    <t>消費税申告項目名称マスタ</t>
  </si>
  <si>
    <t>GLTX8TRN</t>
  </si>
  <si>
    <t>GLTXLMST</t>
  </si>
  <si>
    <t>GLTX5MST</t>
  </si>
  <si>
    <t>GLTX3MST</t>
  </si>
  <si>
    <t>GLTX4MST</t>
  </si>
  <si>
    <t>GLTX6MST</t>
  </si>
  <si>
    <t>GLTX7TRN</t>
  </si>
  <si>
    <t>GLTXATRN</t>
  </si>
  <si>
    <t>GLTX1MST</t>
  </si>
  <si>
    <t>ワークフローデータ履歴</t>
  </si>
  <si>
    <t>会社間マスタ複写履歴</t>
  </si>
  <si>
    <t>複写先会社マスタ</t>
  </si>
  <si>
    <t>支払確定実行履歴テーブル</t>
  </si>
  <si>
    <t>残高拡張マスタ退避</t>
  </si>
  <si>
    <t>取引先・社員残高マスタ退避</t>
  </si>
  <si>
    <t>取引先・社員残高拡張マスタ退避</t>
  </si>
  <si>
    <t>会計退避カレンダー</t>
  </si>
  <si>
    <t>仕訳伝票明細トラン退避</t>
  </si>
  <si>
    <t>仕訳伝票履歴ヘッダトラン退避</t>
  </si>
  <si>
    <t>仕訳伝票履歴明細トラン退避</t>
  </si>
  <si>
    <t>仕訳伝票証憑トラン退避</t>
  </si>
  <si>
    <t>ワークフローデータ履歴退避</t>
    <rPh sb="11" eb="13">
      <t>タイヒ</t>
    </rPh>
    <phoneticPr fontId="2"/>
  </si>
  <si>
    <t>請求書情報</t>
  </si>
  <si>
    <t>請求書情報（銀行情報）</t>
  </si>
  <si>
    <t>請求書情報（経費タイプ）</t>
    <rPh sb="6" eb="8">
      <t>ケイヒ</t>
    </rPh>
    <phoneticPr fontId="2"/>
  </si>
  <si>
    <t>経費パターン明細マスタ</t>
  </si>
  <si>
    <t>CMWFHMST</t>
  </si>
  <si>
    <t>ACKCHMST</t>
  </si>
  <si>
    <t>ACCPKMST</t>
  </si>
  <si>
    <t>APSJHMST</t>
  </si>
  <si>
    <t>GLZANBAK</t>
  </si>
  <si>
    <t>GLZAKBAK</t>
  </si>
  <si>
    <t>GLZNTBAK</t>
  </si>
  <si>
    <t>GLZNKBAK</t>
  </si>
  <si>
    <t>ACCALBAK</t>
  </si>
  <si>
    <t>GLSWHBAK</t>
  </si>
  <si>
    <t>GLSWMBAK</t>
  </si>
  <si>
    <t>GLSHHBAK</t>
  </si>
  <si>
    <t>GLSHMBAK</t>
  </si>
  <si>
    <t>GLSWSBAK</t>
  </si>
  <si>
    <t>CMWFHBAK</t>
  </si>
  <si>
    <t>APSKYTRN</t>
  </si>
  <si>
    <t>APSKBTRN</t>
  </si>
  <si>
    <t>APSKKTRN</t>
  </si>
  <si>
    <t>APKPHMST</t>
  </si>
  <si>
    <t>APKPMMST</t>
  </si>
  <si>
    <t>残高マスタ退避</t>
    <phoneticPr fontId="9"/>
  </si>
  <si>
    <t>仕訳伝票ヘッダトラン退避</t>
    <phoneticPr fontId="9"/>
  </si>
  <si>
    <t>採取する場合：1／採取しない場合：0</t>
    <rPh sb="0" eb="2">
      <t>サイシュ</t>
    </rPh>
    <rPh sb="4" eb="6">
      <t>バアイ</t>
    </rPh>
    <rPh sb="9" eb="11">
      <t>サイシュ</t>
    </rPh>
    <rPh sb="14" eb="16">
      <t>バアイ</t>
    </rPh>
    <phoneticPr fontId="1"/>
  </si>
  <si>
    <t>監査ログ　移行する：1／移行しない：0</t>
    <rPh sb="0" eb="2">
      <t>カンサ</t>
    </rPh>
    <rPh sb="5" eb="7">
      <t>イコウ</t>
    </rPh>
    <rPh sb="12" eb="14">
      <t>イコウ</t>
    </rPh>
    <phoneticPr fontId="1"/>
  </si>
  <si>
    <t>各種項目名称マスタ</t>
  </si>
  <si>
    <t>源泉区分マスタ</t>
  </si>
  <si>
    <t>ＣＦ科目マスタ（直接法）</t>
  </si>
  <si>
    <t>ＣＦ科目名称マスタ（直接法）</t>
  </si>
  <si>
    <t>科目別ＣＦ科目マスタ</t>
  </si>
  <si>
    <t>ＣＦ集計データ（直接法）</t>
  </si>
  <si>
    <t>経費パターン配賦明細マスタ</t>
  </si>
  <si>
    <t>経費パターン明細紐付項目マスタ</t>
  </si>
  <si>
    <t>経費パターン明細紐付明細マスタ</t>
  </si>
  <si>
    <t>請求書情報（明細項目）</t>
  </si>
  <si>
    <t>請求書情報（明細）</t>
  </si>
  <si>
    <t>請求書情報（明細紐付結果情報）</t>
  </si>
  <si>
    <t>ＡＩＯＣＲ経費タイプマスタ</t>
  </si>
  <si>
    <t>メール配信本文マスタ</t>
  </si>
  <si>
    <t>メール配信トラン</t>
  </si>
  <si>
    <t>銀行口座ＡＰＩ入金情報</t>
  </si>
  <si>
    <t>銀行口座ＡＰＩ入金情報（任意属性）</t>
  </si>
  <si>
    <t>銀行口座ＡＰＩ法人口座マスタ</t>
  </si>
  <si>
    <t>銀行口座ＡＰＩ振込人名マスタ</t>
  </si>
  <si>
    <t>配賦履歴トラン</t>
  </si>
  <si>
    <t>お知らせメッセージマスタ</t>
  </si>
  <si>
    <t>ACKKSMST</t>
  </si>
  <si>
    <t>ACKKNMST</t>
  </si>
  <si>
    <t>GLCKMMST</t>
  </si>
  <si>
    <t>GLCKNMST</t>
  </si>
  <si>
    <t>GLKCKMST</t>
  </si>
  <si>
    <t>APKPFMST</t>
  </si>
  <si>
    <t>APAIDMST</t>
  </si>
  <si>
    <t>APSKITRN</t>
  </si>
  <si>
    <t>APSKDTRN</t>
  </si>
  <si>
    <t>APAIKMST</t>
  </si>
  <si>
    <t>ACMHHMST</t>
  </si>
  <si>
    <t>ACMHSTRN</t>
  </si>
  <si>
    <t>ARKZNTRN</t>
  </si>
  <si>
    <t>ARKZZTRN</t>
  </si>
  <si>
    <t>ARKZKMST</t>
  </si>
  <si>
    <t>ARKZFMST</t>
  </si>
  <si>
    <t>GLHFRTRN</t>
  </si>
  <si>
    <t>CMIMGMST</t>
  </si>
  <si>
    <t>APKPIMST</t>
  </si>
  <si>
    <t>APKPZMST</t>
  </si>
  <si>
    <t>APSKZTRN</t>
  </si>
  <si>
    <t>各種項目制御マスタ</t>
    <phoneticPr fontId="9"/>
  </si>
  <si>
    <t>ＡＩＯＣＲ明細項目定義マスタ</t>
    <phoneticPr fontId="9"/>
  </si>
  <si>
    <t>メール配信　使用する：1／使用しない：0</t>
    <rPh sb="3" eb="5">
      <t>ハイシン</t>
    </rPh>
    <phoneticPr fontId="9"/>
  </si>
  <si>
    <t>税処理コード控除可能割合マスタ</t>
  </si>
  <si>
    <t>ACZKWMST</t>
  </si>
  <si>
    <t>2023年度新消費税法対応マスタ</t>
  </si>
  <si>
    <t>AC23ZMST</t>
  </si>
  <si>
    <t>適格請求書ヘッダトラン</t>
  </si>
  <si>
    <t>ACTSHTRN</t>
  </si>
  <si>
    <t>ACTMZTRN</t>
  </si>
  <si>
    <t>適格請求書明細トラン（領収書単位）</t>
  </si>
  <si>
    <t>ACTMITRN</t>
  </si>
  <si>
    <t>適格請求書証憑トラン</t>
  </si>
  <si>
    <t>ACTSSTRN</t>
  </si>
  <si>
    <t>適格請求書ヘッダワーク</t>
  </si>
  <si>
    <t>ACTSHWRK</t>
  </si>
  <si>
    <t>適格請求書明細ワーク（税処理単位）</t>
  </si>
  <si>
    <t>ACTMZWRK</t>
  </si>
  <si>
    <t>適格請求書明細ワーク（領収書単位）</t>
  </si>
  <si>
    <t>ACTMIWRK</t>
  </si>
  <si>
    <t>適格請求書ヘッダ履歴トラン</t>
  </si>
  <si>
    <t>ACTHRTRN</t>
  </si>
  <si>
    <t>適格請求書明細履歴トラン（税処理単位）</t>
  </si>
  <si>
    <t>ACTRZTRN</t>
  </si>
  <si>
    <t>適格請求書明細履歴トラン（領収書単位）</t>
  </si>
  <si>
    <t>ACTRITRN</t>
  </si>
  <si>
    <t>適格請求書ヘッダトラン退避</t>
  </si>
  <si>
    <t>ACTSHBAK</t>
  </si>
  <si>
    <t>適格請求書明細トラン（税処理単位）退避</t>
  </si>
  <si>
    <t>ACTMZBAK</t>
  </si>
  <si>
    <t>適格請求書明細トラン（領収書単位）退避</t>
  </si>
  <si>
    <t>ACTMIBAK</t>
  </si>
  <si>
    <t>適格請求書証憑トラン退避</t>
  </si>
  <si>
    <t>ACTSSBAK</t>
  </si>
  <si>
    <t>適格請求書ヘッダ履歴トラン退避</t>
  </si>
  <si>
    <t>ACTHRBAK</t>
  </si>
  <si>
    <t>適格請求書明細履歴トラン（税処理単位）退避</t>
  </si>
  <si>
    <t>ACTRZBAK</t>
  </si>
  <si>
    <t>適格請求書明細履歴トラン（領収書単位）退避</t>
  </si>
  <si>
    <t>ACTRIBAK</t>
  </si>
  <si>
    <t>定例支払消費税トラン</t>
  </si>
  <si>
    <t>定例仕訳消費税トラン</t>
  </si>
  <si>
    <t>GLTSZTRN</t>
  </si>
  <si>
    <t>入出金伝票ヘッダトラン</t>
  </si>
  <si>
    <t>GLNSHTRN</t>
  </si>
  <si>
    <t>締次端数調整仕訳伝票ヘッダワーク</t>
  </si>
  <si>
    <t>GLSJHWRK</t>
  </si>
  <si>
    <t>締次端数調整仕訳伝票明細ワーク</t>
  </si>
  <si>
    <t>GLSJMWRK</t>
  </si>
  <si>
    <t>締次端数調整債務計上ヘッダワーク</t>
  </si>
  <si>
    <t>APSJHWRK</t>
  </si>
  <si>
    <t>締次端数調整債務計上明細ワーク</t>
  </si>
  <si>
    <t>APSJMWRK</t>
  </si>
  <si>
    <t>締次端数調整債権計上ヘッダワーク</t>
  </si>
  <si>
    <t>ARSJHWRK</t>
  </si>
  <si>
    <t>締次端数調整債権計上明細ワーク</t>
  </si>
  <si>
    <t>ARSJMWRK</t>
  </si>
  <si>
    <t>締次端数調整仕訳伝票履歴</t>
  </si>
  <si>
    <t>GLSJRTRN</t>
  </si>
  <si>
    <t>締次消費税計算単位内訳トラン</t>
  </si>
  <si>
    <t>ACSJSTRN</t>
  </si>
  <si>
    <t>仮消込伝票明細トラン（税処理単位）</t>
  </si>
  <si>
    <t>外部データエラー用伝票共通ワーク（税処理単位）</t>
  </si>
  <si>
    <t>ACEDZWRK</t>
  </si>
  <si>
    <t>外部データ連携用伝票共通ワーク（税処理単位）</t>
  </si>
  <si>
    <t>ACFDZWRK</t>
  </si>
  <si>
    <t>その他システム用仕訳ワーク（税処理単位）</t>
  </si>
  <si>
    <t>CMSWZWRK</t>
  </si>
  <si>
    <t>外部システム用伝票共通ワーク（税処理単位）</t>
  </si>
  <si>
    <t>CMGSZWRK</t>
  </si>
  <si>
    <t>締次債権計上ヘッダワーク２（端数調整）</t>
  </si>
  <si>
    <t>ARSSHWK2</t>
  </si>
  <si>
    <t>締次債権計上明細ワーク２（端数調整）</t>
  </si>
  <si>
    <t>ARSSMWK2</t>
  </si>
  <si>
    <t xml:space="preserve">  ＜精算・仮払管理＞</t>
    <rPh sb="3" eb="5">
      <t>セイサン</t>
    </rPh>
    <phoneticPr fontId="1"/>
  </si>
  <si>
    <t>月間精算・仮払伝票数</t>
    <rPh sb="2" eb="4">
      <t>セイサン</t>
    </rPh>
    <phoneticPr fontId="9"/>
  </si>
  <si>
    <t>適格請求書管理　する：1／しない：0</t>
    <rPh sb="0" eb="5">
      <t>テキカクセイキュウショ</t>
    </rPh>
    <rPh sb="5" eb="7">
      <t>カンリ</t>
    </rPh>
    <phoneticPr fontId="9"/>
  </si>
  <si>
    <t>適格請求書明細トラン（税処理単位）</t>
    <phoneticPr fontId="9"/>
  </si>
  <si>
    <t>ARTKMTRN</t>
    <phoneticPr fontId="9"/>
  </si>
  <si>
    <t>支払通知書№接頭辞マスタ</t>
  </si>
  <si>
    <t>APSNSMST</t>
  </si>
  <si>
    <t>支払通知書№発番管理マスタ</t>
  </si>
  <si>
    <t>APSNKMST</t>
  </si>
  <si>
    <t>請求書・支払通知書発行履歴</t>
  </si>
  <si>
    <t>ACSSRTRN</t>
    <phoneticPr fontId="9"/>
  </si>
  <si>
    <t>適格請求書ヘッダ修正削除履歴トラン</t>
  </si>
  <si>
    <t>ACTHSTRN</t>
  </si>
  <si>
    <t>適格請求書明細修正削除履歴トラン（税処理単位）</t>
  </si>
  <si>
    <t>ACTSZTRN</t>
  </si>
  <si>
    <t>領収書ヘッダ下書ワーク</t>
  </si>
  <si>
    <t>APRHSWRK</t>
  </si>
  <si>
    <t>領収書明細下書ワーク（消費税情報）</t>
  </si>
  <si>
    <t>APRMSWRK</t>
  </si>
  <si>
    <t>外部取込証憑一時保管ワーク</t>
  </si>
  <si>
    <t>ACGTSWRK</t>
  </si>
  <si>
    <t>適格請求書発行事業者確認マスタ</t>
  </si>
  <si>
    <t>ACTHCMST</t>
  </si>
  <si>
    <t>請求書発行内訳トラン</t>
  </si>
  <si>
    <t>ARSKUTRN</t>
  </si>
  <si>
    <t>会社間伝票紐付トラン退避</t>
  </si>
  <si>
    <t>ACDLKBAK</t>
  </si>
  <si>
    <t>本支店仕訳伝票ヘッダトラン退避</t>
  </si>
  <si>
    <t>GLHSHBAK</t>
  </si>
  <si>
    <t>本支店仕訳伝票明細トラン退避</t>
  </si>
  <si>
    <t>GLHSMBAK</t>
  </si>
  <si>
    <t>会社間仕訳伝票ヘッダトラン退避</t>
  </si>
  <si>
    <t>GLKSHBAK</t>
  </si>
  <si>
    <t>会社間仕訳伝票明細トラン退避</t>
  </si>
  <si>
    <t>GLKSMBAK</t>
  </si>
  <si>
    <t>ＳＳＯ証明書マスタ</t>
  </si>
  <si>
    <t>CMSCEMST</t>
  </si>
  <si>
    <t>ＳＳＯ ＩＤ連携マスタ</t>
  </si>
  <si>
    <t>CMSIDMST</t>
  </si>
  <si>
    <t>ＳＳＯ設定マスタ</t>
  </si>
  <si>
    <t>CMSSEMST</t>
  </si>
  <si>
    <t>ＳＳＯユーザーマスタ</t>
  </si>
  <si>
    <t>CMSSOMST</t>
  </si>
  <si>
    <t>APSDTTRN</t>
  </si>
  <si>
    <t>債権伝票パターンヘッダマスタ</t>
    <phoneticPr fontId="9"/>
  </si>
  <si>
    <t>相殺伝票ヘッダトラン</t>
    <phoneticPr fontId="9"/>
  </si>
  <si>
    <t>定例支払ヘッダマスタ</t>
    <phoneticPr fontId="9"/>
  </si>
  <si>
    <t>入金伝票ヘッダトラン</t>
    <phoneticPr fontId="9"/>
  </si>
  <si>
    <t>ＣＦ精算表マスタ</t>
    <phoneticPr fontId="9"/>
  </si>
  <si>
    <t>取引先組織マスタ</t>
    <phoneticPr fontId="9"/>
  </si>
  <si>
    <t>取引先グループマスタ</t>
    <phoneticPr fontId="9"/>
  </si>
  <si>
    <t>会社グループマスタ</t>
  </si>
  <si>
    <t>CMKGRMST</t>
  </si>
  <si>
    <t>ARTSDTRN</t>
    <phoneticPr fontId="9"/>
  </si>
  <si>
    <t>ダッシュボード作成用ワーク</t>
  </si>
  <si>
    <t>ACDBMWRK</t>
  </si>
  <si>
    <t>帳票フォーム定義マスタ</t>
  </si>
  <si>
    <t>ACFMTMST</t>
  </si>
  <si>
    <t>帳票フォーム名称マスタ</t>
  </si>
  <si>
    <t>ACFMNMST</t>
    <phoneticPr fontId="9"/>
  </si>
  <si>
    <t>費目区分マスタ</t>
  </si>
  <si>
    <t>APHMKMST</t>
  </si>
  <si>
    <t>支払仕訳・支払確定紐付トラン</t>
  </si>
  <si>
    <t>APSKLTRN</t>
  </si>
  <si>
    <t>締日別集中支払実績トラン</t>
  </si>
  <si>
    <t>APSSJTRN</t>
    <phoneticPr fontId="9"/>
  </si>
  <si>
    <t>ＦＢ入金振込人名口座マスタ</t>
  </si>
  <si>
    <t>ARFNBMST</t>
  </si>
  <si>
    <t>ＦＢ依頼人名自動更新除外マスタ</t>
  </si>
  <si>
    <t>消込差額明細パターンマスタ</t>
  </si>
  <si>
    <t>AROMTMST</t>
    <phoneticPr fontId="9"/>
  </si>
  <si>
    <t>ARKSSMST</t>
    <phoneticPr fontId="9"/>
  </si>
  <si>
    <t>締日別債権計上明細トラン</t>
  </si>
  <si>
    <t>ARSBSTRN</t>
  </si>
  <si>
    <t>外部データチェック用伝票共通テンポラリ（税処理単位）</t>
  </si>
  <si>
    <t>GAIDATA_CHK_COMZ_TEMP</t>
  </si>
  <si>
    <t>外部データ連携用伝票明細登録用テンポラリ</t>
  </si>
  <si>
    <t>GAIDATA_REN_MTRN_INS_TEMP</t>
  </si>
  <si>
    <t>外部データ連携用伝票共通テンポラリ（税処理単位）</t>
  </si>
  <si>
    <t>GAIDATA_REN_COMZ_TEMP</t>
  </si>
  <si>
    <t>外部データ連携用伝票共通テンポラリ（適格請求書）</t>
  </si>
  <si>
    <t>GAIDATA_REN_COMT_TEMP</t>
  </si>
  <si>
    <t>外部データ連携用消費税情報登録用テンポラリ</t>
  </si>
  <si>
    <t>GAIDATA_REN_SZEI_INS_TEMP</t>
  </si>
  <si>
    <t>タイ税務申告源泉徴収明細トラン</t>
  </si>
  <si>
    <t>GLTGMTRN</t>
  </si>
  <si>
    <t>タイ税務申告源泉税名称マスタ</t>
  </si>
  <si>
    <t>GLTGNMST</t>
  </si>
  <si>
    <t>タイ税務申告源泉税対応科目マスタ</t>
  </si>
  <si>
    <t>GLTGTMST</t>
  </si>
  <si>
    <t>タイ税務申告源泉税マスタ</t>
  </si>
  <si>
    <t>GLTGZMST</t>
  </si>
  <si>
    <t>タイ税務申告領収書番号ヘッダ履歴トラン</t>
  </si>
  <si>
    <t>GLTHRTRN</t>
  </si>
  <si>
    <t>タイ税務申告管理マスタ</t>
  </si>
  <si>
    <t>GLTKRMST</t>
  </si>
  <si>
    <t>タイ税務申告領収書番号明細履歴トラン</t>
  </si>
  <si>
    <t>GLTMRTRN</t>
  </si>
  <si>
    <t>タイ税務申告領収書番号ヘッダトラン</t>
  </si>
  <si>
    <t>GLTRHTRN</t>
  </si>
  <si>
    <t>タイ税務申告領収書番号明細トラン</t>
  </si>
  <si>
    <t>GLTRMTRN</t>
  </si>
  <si>
    <t>タイ税務申告支払明細書番号発番マスタ</t>
  </si>
  <si>
    <t>GLTSBMST</t>
  </si>
  <si>
    <t>タイ税務申告支払明細書発番管理マスタ</t>
  </si>
  <si>
    <t>GLTSNMST</t>
  </si>
  <si>
    <t>タイ税務申告取引先マスタ</t>
  </si>
  <si>
    <t>GLTTHMST</t>
  </si>
  <si>
    <t>タイ税務申告税処理拡張マスタ</t>
  </si>
  <si>
    <t>GLTZKMST</t>
  </si>
  <si>
    <t>配賦用実行コードテンポラリ</t>
  </si>
  <si>
    <t>HIFDATA_ACTCODE_TEMP</t>
  </si>
  <si>
    <t>検索用コードテンポラリ</t>
  </si>
  <si>
    <t>SEARCH_CODE_TEMP</t>
  </si>
  <si>
    <t>マイナンバー参照ログ</t>
  </si>
  <si>
    <t>CMMSILOG</t>
  </si>
  <si>
    <t>CMSPDMST</t>
  </si>
  <si>
    <t>検索パターンデータマスタ</t>
    <phoneticPr fontId="9"/>
  </si>
  <si>
    <t>資金科目マスタ</t>
    <phoneticPr fontId="9"/>
  </si>
  <si>
    <t>資金繰月次残高マスタ</t>
    <phoneticPr fontId="9"/>
  </si>
  <si>
    <t>APGSKMST</t>
    <phoneticPr fontId="9"/>
  </si>
  <si>
    <t>GLCSDTRN</t>
    <phoneticPr fontId="9"/>
  </si>
  <si>
    <t>経費パターンヘッダマスタ</t>
    <phoneticPr fontId="9"/>
  </si>
  <si>
    <t>適格消費税申告項目マスタ</t>
  </si>
  <si>
    <t>適格消費税申告項目集計マスタ（システム区分）</t>
  </si>
  <si>
    <t>適格消費税申告項目集計マスタ（税処理コード）</t>
  </si>
  <si>
    <t>適格消費税申告項目集計マスタ（科目コード）</t>
  </si>
  <si>
    <t>適格消費税申告項目集計マスタ（補助科目コード）</t>
  </si>
  <si>
    <t>適格消費税申告項目集計処理管理トラン</t>
  </si>
  <si>
    <t>適格消費税申告項目集計ヘッダトラン</t>
  </si>
  <si>
    <t>適格消費税申告項目集計伝票履歴トラン（元帳）</t>
  </si>
  <si>
    <t>適格消費税申告項目集計伝票履歴トラン（請求書）</t>
  </si>
  <si>
    <t>GLCX0MST</t>
  </si>
  <si>
    <t>GLCX1MST</t>
  </si>
  <si>
    <t>GLCX2MST</t>
  </si>
  <si>
    <t>GLCX3MST</t>
  </si>
  <si>
    <t>GLCX4MST</t>
  </si>
  <si>
    <t>GLCX5MST</t>
  </si>
  <si>
    <t>GLCX6TRN</t>
  </si>
  <si>
    <t>GLCX7TRN</t>
  </si>
  <si>
    <t>GLCX8TRN</t>
  </si>
  <si>
    <t>GLCX9TRN</t>
  </si>
  <si>
    <t>ＪＰＰＩＮＴ要素マスタ</t>
  </si>
  <si>
    <t>ＪＰＰＩＮＴ要素名称マスタ</t>
  </si>
  <si>
    <t>ＪＰＰＩＮＴ要素条件定義マスタ</t>
  </si>
  <si>
    <t>数量単位マスタ</t>
  </si>
  <si>
    <t>数量単位名称マスタ</t>
  </si>
  <si>
    <t>デジタルインボイス格納テーブル１</t>
  </si>
  <si>
    <t>デジタルインボイス格納テーブル２</t>
  </si>
  <si>
    <t>デジタルインボイス格納テーブル３（一覧）</t>
  </si>
  <si>
    <t>デジタルインボイスメッセージマスタ</t>
  </si>
  <si>
    <t>デジタルインボイス送信結果ヘッダトラン</t>
  </si>
  <si>
    <t>デジタルインボイス送信結果明細トラン</t>
  </si>
  <si>
    <t>デジタルインボイス取得履歴</t>
  </si>
  <si>
    <t>デジタルインボイス要素設定マスタ</t>
  </si>
  <si>
    <t>デジタルインボイス設定元テーブルマスタ</t>
  </si>
  <si>
    <t>デジタルインボイス設定元テーブル名称マスタ</t>
  </si>
  <si>
    <t>デジタルインボイス設定元項目マスタ</t>
  </si>
  <si>
    <t>デジタルインボイス設定元項目名称マスタ</t>
  </si>
  <si>
    <t>並行動作業務サービス実行管理マスタ</t>
  </si>
  <si>
    <t>ACPETMST</t>
  </si>
  <si>
    <t>ACSTNMST</t>
  </si>
  <si>
    <t>ACDK1TRN</t>
  </si>
  <si>
    <t>ACDK2TRN</t>
  </si>
  <si>
    <t>ACDK3TRN</t>
  </si>
  <si>
    <t>ＦＢデータ作成履歴ログ（明細）</t>
    <rPh sb="12" eb="14">
      <t>メイサイ</t>
    </rPh>
    <phoneticPr fontId="2"/>
  </si>
  <si>
    <t>APFBRLOG</t>
  </si>
  <si>
    <t>APFBMLOG</t>
  </si>
  <si>
    <t>GLTX2MST</t>
    <phoneticPr fontId="9"/>
  </si>
  <si>
    <t xml:space="preserve">  ＜GST申告書＞</t>
    <rPh sb="6" eb="9">
      <t>シンコクショ</t>
    </rPh>
    <phoneticPr fontId="1"/>
  </si>
  <si>
    <t xml:space="preserve">  ＜証憑管理e文書対応オプション＞</t>
    <rPh sb="3" eb="5">
      <t>ショウヒョウ</t>
    </rPh>
    <rPh sb="5" eb="7">
      <t>カンリ</t>
    </rPh>
    <rPh sb="8" eb="10">
      <t>ブンショ</t>
    </rPh>
    <rPh sb="10" eb="12">
      <t>タイオウ</t>
    </rPh>
    <phoneticPr fontId="1"/>
  </si>
  <si>
    <t xml:space="preserve">  ＜駅すぱあとオプション＞</t>
    <rPh sb="3" eb="4">
      <t>エキ</t>
    </rPh>
    <phoneticPr fontId="1"/>
  </si>
  <si>
    <t xml:space="preserve">  ＜消費税申告＞</t>
    <rPh sb="3" eb="6">
      <t>ショウヒゼイ</t>
    </rPh>
    <rPh sb="6" eb="8">
      <t>シンコク</t>
    </rPh>
    <phoneticPr fontId="1"/>
  </si>
  <si>
    <t xml:space="preserve">  ＜AI-OCR＞</t>
    <phoneticPr fontId="1"/>
  </si>
  <si>
    <t xml:space="preserve">  ＜銀行口座API＞</t>
    <rPh sb="3" eb="5">
      <t>ギンコウ</t>
    </rPh>
    <rPh sb="5" eb="7">
      <t>コウザ</t>
    </rPh>
    <phoneticPr fontId="1"/>
  </si>
  <si>
    <t xml:space="preserve">  ＜シングルサインオン＞</t>
    <phoneticPr fontId="1"/>
  </si>
  <si>
    <t xml:space="preserve">  ＜適格消費税申告＞</t>
    <rPh sb="3" eb="5">
      <t>テキカク</t>
    </rPh>
    <rPh sb="5" eb="8">
      <t>ショウヒゼイ</t>
    </rPh>
    <rPh sb="8" eb="10">
      <t>シンコク</t>
    </rPh>
    <phoneticPr fontId="1"/>
  </si>
  <si>
    <t>適格消費税申告項目名称マスタ</t>
    <phoneticPr fontId="9"/>
  </si>
  <si>
    <t>デジタルインボイス月間送信件数</t>
    <rPh sb="11" eb="13">
      <t>ソウシン</t>
    </rPh>
    <phoneticPr fontId="9"/>
  </si>
  <si>
    <t>デジタルインボイス月間受信件数</t>
    <rPh sb="11" eb="13">
      <t>ジュシン</t>
    </rPh>
    <phoneticPr fontId="9"/>
  </si>
  <si>
    <t>システム区分マスタ</t>
    <phoneticPr fontId="9"/>
  </si>
  <si>
    <t>デジタルインボイス作成ヘッダトラン</t>
    <phoneticPr fontId="9"/>
  </si>
  <si>
    <t>ACDCHTRN</t>
    <phoneticPr fontId="9"/>
  </si>
  <si>
    <t>デジタルインボイス作成明細トラン</t>
    <phoneticPr fontId="9"/>
  </si>
  <si>
    <t>ACDCMTRN</t>
    <phoneticPr fontId="9"/>
  </si>
  <si>
    <t>ACPEJMST</t>
    <phoneticPr fontId="9"/>
  </si>
  <si>
    <t>ACPMGMST</t>
    <phoneticPr fontId="9"/>
  </si>
  <si>
    <t>ACDESMST</t>
    <phoneticPr fontId="9"/>
  </si>
  <si>
    <t>ACDSMMST</t>
    <phoneticPr fontId="9"/>
  </si>
  <si>
    <t>ACDSTMST</t>
    <phoneticPr fontId="9"/>
  </si>
  <si>
    <t>ACDSKMST</t>
    <phoneticPr fontId="9"/>
  </si>
  <si>
    <t>ACDSNMST</t>
    <phoneticPr fontId="9"/>
  </si>
  <si>
    <t>ACPENMST</t>
    <phoneticPr fontId="9"/>
  </si>
  <si>
    <t>ACSTIMST</t>
    <phoneticPr fontId="9"/>
  </si>
  <si>
    <t>社員登録数</t>
    <phoneticPr fontId="9"/>
  </si>
  <si>
    <t>得意先件数</t>
    <phoneticPr fontId="9"/>
  </si>
  <si>
    <t>入金伝票件数</t>
    <phoneticPr fontId="9"/>
  </si>
  <si>
    <t>ACPGSMST</t>
    <phoneticPr fontId="9"/>
  </si>
  <si>
    <t>ACDSRTRN</t>
    <phoneticPr fontId="9"/>
  </si>
  <si>
    <t>ACDSMTRN</t>
    <phoneticPr fontId="9"/>
  </si>
  <si>
    <t>ACDSHTRN</t>
    <phoneticPr fontId="9"/>
  </si>
  <si>
    <t>GLCFSMST</t>
    <phoneticPr fontId="9"/>
  </si>
  <si>
    <t>CMDLMMST</t>
    <phoneticPr fontId="9"/>
  </si>
  <si>
    <t>APTSZTRN</t>
    <phoneticPr fontId="9"/>
  </si>
  <si>
    <t>APMBMTRN</t>
    <phoneticPr fontId="9"/>
  </si>
  <si>
    <t>ARKMDTRN</t>
    <phoneticPr fontId="9"/>
  </si>
  <si>
    <t>APPTSMST</t>
    <phoneticPr fontId="9"/>
  </si>
  <si>
    <t>ユーザー別伝票発番グループマスタ</t>
    <phoneticPr fontId="9"/>
  </si>
  <si>
    <t>債務計上明細トラン</t>
    <phoneticPr fontId="9"/>
  </si>
  <si>
    <t>ＦＢデータ作成履歴ログ</t>
    <phoneticPr fontId="9"/>
  </si>
  <si>
    <t>支払管理コードマスタ</t>
    <phoneticPr fontId="9"/>
  </si>
  <si>
    <t>仕訳伝票明細トラン</t>
    <phoneticPr fontId="9"/>
  </si>
  <si>
    <t>マスタ更新履歴管理　する：1／しない：0</t>
    <rPh sb="3" eb="5">
      <t>コウシン</t>
    </rPh>
    <rPh sb="5" eb="7">
      <t>リレキ</t>
    </rPh>
    <rPh sb="7" eb="9">
      <t>カンリ</t>
    </rPh>
    <phoneticPr fontId="9"/>
  </si>
  <si>
    <t>デジタルインボイス支払伝票作成マスタ</t>
  </si>
  <si>
    <t>デジタルインボイス支払伝票作成科目条件マスタ</t>
  </si>
  <si>
    <t>デジタルインボイス支払伝票要素設定マスタ</t>
  </si>
  <si>
    <t>得意先別債権条件マスタ更新履歴</t>
  </si>
  <si>
    <t>得意先締日マスタ更新履歴</t>
  </si>
  <si>
    <t>仕入先管理マスタ更新履歴</t>
  </si>
  <si>
    <t>仕入先条件管理マスタ更新履歴</t>
  </si>
  <si>
    <t>振込先マスタ更新履歴</t>
  </si>
  <si>
    <t>締日管理マスタ更新履歴</t>
  </si>
  <si>
    <t>社員マスタ更新履歴</t>
  </si>
  <si>
    <t>社員支払情報管理マスタ更新履歴</t>
  </si>
  <si>
    <t>ワークフロー承認ユーザー別表示形式指定</t>
  </si>
  <si>
    <t>ACDDMMST</t>
  </si>
  <si>
    <t>ACDDKMST</t>
  </si>
  <si>
    <t>ACDDJMST</t>
  </si>
  <si>
    <t>ACDDSMST</t>
  </si>
  <si>
    <t>ACTRHLOG</t>
  </si>
  <si>
    <t>ACTR2LOG</t>
  </si>
  <si>
    <t>ARTKJLOG</t>
  </si>
  <si>
    <t>ARTKSLOG</t>
  </si>
  <si>
    <t>APSRKLOG</t>
  </si>
  <si>
    <t>APSRJLOG</t>
  </si>
  <si>
    <t>APFRSLOG</t>
  </si>
  <si>
    <t>ACSIMLOG</t>
  </si>
  <si>
    <t>APSHALOG</t>
  </si>
  <si>
    <t>ACWFUMST</t>
  </si>
  <si>
    <t>APRMZWRK</t>
  </si>
  <si>
    <t>CMSHALOG</t>
    <phoneticPr fontId="9"/>
  </si>
  <si>
    <t>取引先マスタ更新履歴</t>
    <phoneticPr fontId="9"/>
  </si>
  <si>
    <t>得意先・仕入先マスタ更新履歴</t>
    <phoneticPr fontId="9"/>
  </si>
  <si>
    <t>ACDDYMST</t>
    <phoneticPr fontId="9"/>
  </si>
  <si>
    <t>領収書明細下書ワーク（消費税情報税処理単位）</t>
    <phoneticPr fontId="9"/>
  </si>
  <si>
    <t>デジタルインボイス支払伝票作成科目設定マスタ</t>
    <phoneticPr fontId="9"/>
  </si>
  <si>
    <t>デジタルインボイス支払伝票作成要素マスタ</t>
    <phoneticPr fontId="9"/>
  </si>
  <si>
    <t>ACDCPMST</t>
  </si>
  <si>
    <t>デジタルインボイス一覧表示項目マスタ</t>
  </si>
  <si>
    <t>残高検索条件マスタ</t>
  </si>
  <si>
    <t>残高検索条件個別指定マスタ</t>
  </si>
  <si>
    <t>残高検索条件出力項目指定マスタ</t>
  </si>
  <si>
    <t>GLZKSMST</t>
  </si>
  <si>
    <t>一括処理実行マスタ</t>
  </si>
  <si>
    <t>ACISJMST</t>
  </si>
  <si>
    <t>2026-06-01版</t>
    <phoneticPr fontId="9"/>
  </si>
  <si>
    <t>ACDIHMST</t>
    <phoneticPr fontId="9"/>
  </si>
  <si>
    <t>GLZKJMST</t>
    <phoneticPr fontId="9"/>
  </si>
  <si>
    <t>残高検索マスタ件数</t>
    <rPh sb="0" eb="2">
      <t>ザンダカ</t>
    </rPh>
    <rPh sb="2" eb="4">
      <t>ケンサク</t>
    </rPh>
    <rPh sb="7" eb="9">
      <t>ケンスウ</t>
    </rPh>
    <rPh sb="8" eb="9">
      <t>ジョウケン</t>
    </rPh>
    <phoneticPr fontId="9"/>
  </si>
  <si>
    <t>GLZKKMST</t>
    <phoneticPr fontId="9"/>
  </si>
  <si>
    <t>ACDCKMST</t>
    <phoneticPr fontId="9"/>
  </si>
  <si>
    <t>デジタルインボイス作成項目マスタ</t>
    <phoneticPr fontId="9"/>
  </si>
  <si>
    <t>デジタルインボイス作成項目パターンマスタ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</si>
</sst>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#,##0.00"/>
    <numFmt numFmtId="177" formatCode="0.0000"/>
  </numFmts>
  <fonts count="2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0000FF"/>
      <name val="ＭＳ 明朝"/>
      <family val="1"/>
      <charset val="128"/>
    </font>
    <font>
      <b/>
      <sz val="20"/>
      <name val="Tahoma"/>
      <family val="2"/>
    </font>
    <font>
      <b/>
      <sz val="20"/>
      <name val="ＭＳ Ｐゴシック"/>
      <family val="3"/>
      <charset val="128"/>
    </font>
    <font>
      <sz val="12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6"/>
      <color rgb="FF0000FF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4" fillId="0" borderId="0"/>
    <xf numFmtId="0" fontId="5" fillId="0" borderId="0"/>
    <xf numFmtId="0" fontId="16" fillId="0" borderId="0">
      <alignment vertical="center"/>
    </xf>
  </cellStyleXfs>
  <cellXfs count="102">
    <xf numFmtId="0" fontId="0" fillId="0" borderId="0" xfId="0">
      <alignment vertical="center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0" fontId="2" fillId="4" borderId="1" xfId="0" applyFont="1" applyFill="1" applyBorder="1" applyAlignment="1">
      <alignment horizontal="center" vertical="center"/>
    </xf>
    <xf numFmtId="0" fontId="4" fillId="0" borderId="2" xfId="2" applyBorder="1"/>
    <xf numFmtId="0" fontId="6" fillId="0" borderId="3" xfId="2" applyFont="1" applyBorder="1"/>
    <xf numFmtId="0" fontId="4" fillId="0" borderId="3" xfId="2" applyBorder="1"/>
    <xf numFmtId="0" fontId="4" fillId="0" borderId="4" xfId="2" applyBorder="1"/>
    <xf numFmtId="0" fontId="4" fillId="0" borderId="5" xfId="2" applyBorder="1"/>
    <xf numFmtId="0" fontId="4" fillId="0" borderId="0" xfId="2"/>
    <xf numFmtId="176" fontId="7" fillId="0" borderId="0" xfId="2" applyNumberFormat="1" applyFont="1"/>
    <xf numFmtId="0" fontId="4" fillId="0" borderId="6" xfId="2" applyBorder="1"/>
    <xf numFmtId="0" fontId="4" fillId="0" borderId="7" xfId="2" applyBorder="1"/>
    <xf numFmtId="176" fontId="4" fillId="2" borderId="8" xfId="2" applyNumberFormat="1" applyFill="1" applyBorder="1"/>
    <xf numFmtId="0" fontId="4" fillId="0" borderId="9" xfId="2" applyBorder="1"/>
    <xf numFmtId="0" fontId="8" fillId="0" borderId="0" xfId="2" applyFont="1" applyAlignment="1">
      <alignment horizontal="right"/>
    </xf>
    <xf numFmtId="0" fontId="9" fillId="0" borderId="0" xfId="3" applyFont="1"/>
    <xf numFmtId="0" fontId="6" fillId="0" borderId="0" xfId="2" applyFont="1"/>
    <xf numFmtId="0" fontId="9" fillId="0" borderId="0" xfId="2" applyFont="1" applyAlignment="1">
      <alignment vertical="top"/>
    </xf>
    <xf numFmtId="0" fontId="10" fillId="0" borderId="0" xfId="2" applyFont="1"/>
    <xf numFmtId="0" fontId="0" fillId="0" borderId="0" xfId="0" applyAlignment="1">
      <alignment horizontal="center" vertical="center"/>
    </xf>
    <xf numFmtId="38" fontId="11" fillId="0" borderId="0" xfId="1" applyFont="1">
      <alignment vertical="center"/>
    </xf>
    <xf numFmtId="38" fontId="2" fillId="4" borderId="1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3" applyFont="1" applyAlignment="1">
      <alignment horizontal="left" wrapText="1"/>
    </xf>
    <xf numFmtId="0" fontId="12" fillId="0" borderId="1" xfId="0" applyFont="1" applyBorder="1" applyAlignment="1">
      <alignment horizontal="right" vertical="center"/>
    </xf>
    <xf numFmtId="38" fontId="12" fillId="0" borderId="1" xfId="1" applyFont="1" applyFill="1" applyBorder="1" applyAlignment="1">
      <alignment horizontal="right" vertical="center"/>
    </xf>
    <xf numFmtId="38" fontId="13" fillId="3" borderId="1" xfId="1" applyFont="1" applyFill="1" applyBorder="1" applyAlignment="1"/>
    <xf numFmtId="0" fontId="13" fillId="0" borderId="1" xfId="2" applyFont="1" applyBorder="1"/>
    <xf numFmtId="0" fontId="14" fillId="0" borderId="3" xfId="3" applyFont="1" applyBorder="1"/>
    <xf numFmtId="38" fontId="12" fillId="0" borderId="18" xfId="1" applyFont="1" applyFill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/>
    </xf>
    <xf numFmtId="177" fontId="12" fillId="0" borderId="1" xfId="0" applyNumberFormat="1" applyFont="1" applyBorder="1" applyAlignment="1">
      <alignment horizontal="right" vertical="center"/>
    </xf>
    <xf numFmtId="0" fontId="3" fillId="0" borderId="18" xfId="0" applyFont="1" applyBorder="1" applyAlignment="1"/>
    <xf numFmtId="49" fontId="3" fillId="0" borderId="18" xfId="0" applyNumberFormat="1" applyFont="1" applyBorder="1" applyAlignment="1"/>
    <xf numFmtId="49" fontId="8" fillId="0" borderId="18" xfId="0" applyNumberFormat="1" applyFont="1" applyBorder="1" applyAlignment="1">
      <alignment horizontal="center"/>
    </xf>
    <xf numFmtId="0" fontId="13" fillId="0" borderId="10" xfId="2" applyFont="1" applyBorder="1"/>
    <xf numFmtId="0" fontId="13" fillId="0" borderId="19" xfId="2" applyFont="1" applyBorder="1"/>
    <xf numFmtId="0" fontId="9" fillId="0" borderId="0" xfId="2" applyFont="1"/>
    <xf numFmtId="0" fontId="10" fillId="0" borderId="5" xfId="2" applyFont="1" applyBorder="1"/>
    <xf numFmtId="0" fontId="9" fillId="0" borderId="6" xfId="2" applyFont="1" applyBorder="1"/>
    <xf numFmtId="0" fontId="10" fillId="0" borderId="6" xfId="2" applyFont="1" applyBorder="1"/>
    <xf numFmtId="38" fontId="13" fillId="3" borderId="18" xfId="1" applyFont="1" applyFill="1" applyBorder="1" applyAlignment="1"/>
    <xf numFmtId="0" fontId="17" fillId="0" borderId="0" xfId="0" applyFont="1">
      <alignment vertical="center"/>
    </xf>
    <xf numFmtId="0" fontId="17" fillId="0" borderId="5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14" xfId="0" applyFont="1" applyBorder="1">
      <alignment vertical="center"/>
    </xf>
    <xf numFmtId="0" fontId="17" fillId="0" borderId="15" xfId="0" applyFont="1" applyBorder="1">
      <alignment vertical="center"/>
    </xf>
    <xf numFmtId="0" fontId="17" fillId="0" borderId="16" xfId="0" applyFont="1" applyBorder="1">
      <alignment vertical="center"/>
    </xf>
    <xf numFmtId="177" fontId="12" fillId="0" borderId="18" xfId="0" applyNumberFormat="1" applyFont="1" applyBorder="1" applyAlignment="1">
      <alignment horizontal="right" vertical="center"/>
    </xf>
    <xf numFmtId="0" fontId="13" fillId="0" borderId="18" xfId="2" applyFont="1" applyBorder="1"/>
    <xf numFmtId="38" fontId="13" fillId="0" borderId="12" xfId="1" applyFont="1" applyBorder="1" applyAlignment="1"/>
    <xf numFmtId="0" fontId="13" fillId="0" borderId="1" xfId="3" applyFont="1" applyBorder="1" applyProtection="1">
      <protection hidden="1"/>
    </xf>
    <xf numFmtId="0" fontId="3" fillId="5" borderId="1" xfId="0" applyFont="1" applyFill="1" applyBorder="1" applyAlignment="1"/>
    <xf numFmtId="49" fontId="3" fillId="5" borderId="1" xfId="0" applyNumberFormat="1" applyFont="1" applyFill="1" applyBorder="1" applyAlignment="1"/>
    <xf numFmtId="49" fontId="8" fillId="5" borderId="1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right" vertical="center"/>
    </xf>
    <xf numFmtId="177" fontId="12" fillId="5" borderId="1" xfId="0" applyNumberFormat="1" applyFont="1" applyFill="1" applyBorder="1" applyAlignment="1">
      <alignment horizontal="right" vertical="center"/>
    </xf>
    <xf numFmtId="38" fontId="12" fillId="5" borderId="1" xfId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3" fillId="0" borderId="10" xfId="3" applyFont="1" applyBorder="1" applyProtection="1">
      <protection hidden="1"/>
    </xf>
    <xf numFmtId="3" fontId="13" fillId="3" borderId="1" xfId="3" applyNumberFormat="1" applyFont="1" applyFill="1" applyBorder="1"/>
    <xf numFmtId="0" fontId="13" fillId="3" borderId="1" xfId="3" applyFont="1" applyFill="1" applyBorder="1"/>
    <xf numFmtId="9" fontId="13" fillId="3" borderId="1" xfId="2" applyNumberFormat="1" applyFont="1" applyFill="1" applyBorder="1"/>
    <xf numFmtId="0" fontId="13" fillId="0" borderId="10" xfId="3" applyFont="1" applyBorder="1"/>
    <xf numFmtId="0" fontId="13" fillId="3" borderId="1" xfId="2" applyFont="1" applyFill="1" applyBorder="1"/>
    <xf numFmtId="38" fontId="13" fillId="0" borderId="1" xfId="1" applyFont="1" applyBorder="1" applyAlignment="1"/>
    <xf numFmtId="0" fontId="18" fillId="0" borderId="0" xfId="0" applyFont="1">
      <alignment vertical="center"/>
    </xf>
    <xf numFmtId="0" fontId="19" fillId="0" borderId="12" xfId="2" applyFont="1" applyBorder="1"/>
    <xf numFmtId="0" fontId="13" fillId="0" borderId="13" xfId="3" applyFont="1" applyBorder="1" applyProtection="1">
      <protection hidden="1"/>
    </xf>
    <xf numFmtId="38" fontId="13" fillId="0" borderId="13" xfId="1" applyFont="1" applyFill="1" applyBorder="1" applyAlignment="1"/>
    <xf numFmtId="0" fontId="13" fillId="0" borderId="13" xfId="2" applyFont="1" applyBorder="1"/>
    <xf numFmtId="38" fontId="13" fillId="0" borderId="0" xfId="1" applyFont="1" applyFill="1" applyBorder="1" applyAlignment="1"/>
    <xf numFmtId="0" fontId="18" fillId="0" borderId="0" xfId="2" applyFont="1"/>
    <xf numFmtId="38" fontId="13" fillId="3" borderId="11" xfId="1" applyFont="1" applyFill="1" applyBorder="1" applyAlignment="1"/>
    <xf numFmtId="0" fontId="20" fillId="0" borderId="5" xfId="0" applyFont="1" applyBorder="1">
      <alignment vertical="center"/>
    </xf>
    <xf numFmtId="0" fontId="20" fillId="0" borderId="0" xfId="0" applyFont="1">
      <alignment vertical="center"/>
    </xf>
    <xf numFmtId="0" fontId="20" fillId="0" borderId="6" xfId="0" applyFont="1" applyBorder="1">
      <alignment vertical="center"/>
    </xf>
    <xf numFmtId="0" fontId="21" fillId="0" borderId="0" xfId="2" applyFont="1" applyAlignment="1">
      <alignment horizontal="center" vertical="top"/>
    </xf>
    <xf numFmtId="0" fontId="13" fillId="0" borderId="19" xfId="2" applyFont="1" applyFill="1" applyBorder="1"/>
    <xf numFmtId="0" fontId="3" fillId="0" borderId="18" xfId="0" applyFont="1" applyFill="1" applyBorder="1" applyAlignment="1"/>
    <xf numFmtId="49" fontId="3" fillId="0" borderId="18" xfId="0" applyNumberFormat="1" applyFont="1" applyFill="1" applyBorder="1" applyAlignment="1"/>
    <xf numFmtId="49" fontId="8" fillId="0" borderId="18" xfId="0" applyNumberFormat="1" applyFont="1" applyFill="1" applyBorder="1" applyAlignment="1">
      <alignment horizontal="center"/>
    </xf>
    <xf numFmtId="0" fontId="12" fillId="0" borderId="18" xfId="0" applyFont="1" applyFill="1" applyBorder="1" applyAlignment="1">
      <alignment horizontal="right" vertical="center"/>
    </xf>
    <xf numFmtId="177" fontId="12" fillId="0" borderId="18" xfId="0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38" fontId="12" fillId="0" borderId="0" xfId="1" applyFont="1" applyFill="1">
      <alignment vertical="center"/>
    </xf>
    <xf numFmtId="177" fontId="12" fillId="0" borderId="20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8" fontId="11" fillId="0" borderId="0" xfId="1" applyFont="1" applyFill="1">
      <alignment vertical="center"/>
    </xf>
    <xf numFmtId="0" fontId="3" fillId="0" borderId="17" xfId="0" applyFont="1" applyFill="1" applyBorder="1" applyAlignment="1"/>
    <xf numFmtId="49" fontId="3" fillId="0" borderId="17" xfId="0" applyNumberFormat="1" applyFont="1" applyFill="1" applyBorder="1" applyAlignment="1"/>
    <xf numFmtId="0" fontId="0" fillId="0" borderId="17" xfId="0" applyFill="1" applyBorder="1">
      <alignment vertical="center"/>
    </xf>
    <xf numFmtId="0" fontId="0" fillId="0" borderId="17" xfId="0" applyFill="1" applyBorder="1" applyAlignment="1">
      <alignment horizontal="center" vertical="center"/>
    </xf>
    <xf numFmtId="38" fontId="11" fillId="0" borderId="17" xfId="1" applyFont="1" applyFill="1" applyBorder="1">
      <alignment vertical="center"/>
    </xf>
  </cellXfs>
  <cellStyles count="5">
    <cellStyle name="桁区切り" xfId="1" builtinId="6"/>
    <cellStyle name="標準" xfId="0" builtinId="0"/>
    <cellStyle name="標準 2" xfId="4" xr:uid="{00000000-0005-0000-0000-000002000000}"/>
    <cellStyle name="標準_NEW_TBL" xfId="2" xr:uid="{00000000-0005-0000-0000-000003000000}"/>
    <cellStyle name="標準_Sheet1" xfId="3" xr:uid="{00000000-0005-0000-0000-000004000000}"/>
  </cellStyles>
  <dxfs count="0"/>
  <tableStyles count="0" defaultTableStyle="TableStyleMedium9" defaultPivotStyle="PivotStyleLight16"/>
  <colors>
    <mruColors>
      <color rgb="FFFFCCFF"/>
      <color rgb="FFFFFFCC"/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7"/>
  <sheetViews>
    <sheetView tabSelected="1" zoomScaleNormal="100" workbookViewId="0"/>
  </sheetViews>
  <sheetFormatPr defaultRowHeight="13.5"/>
  <cols>
    <col min="1" max="2" width="3.25" customWidth="1"/>
    <col min="3" max="3" width="33.875" customWidth="1"/>
    <col min="4" max="4" width="9.625" bestFit="1" customWidth="1"/>
    <col min="5" max="5" width="4.875" customWidth="1"/>
    <col min="6" max="6" width="5.625" customWidth="1"/>
    <col min="7" max="7" width="2.875" customWidth="1"/>
    <col min="8" max="8" width="6.5" customWidth="1"/>
    <col min="9" max="9" width="38.875" customWidth="1"/>
    <col min="10" max="10" width="10.25" customWidth="1"/>
    <col min="11" max="11" width="8.75" style="20" customWidth="1"/>
    <col min="12" max="13" width="14.375" customWidth="1"/>
    <col min="14" max="14" width="14" style="21" bestFit="1" customWidth="1"/>
    <col min="15" max="15" width="13.125" customWidth="1"/>
  </cols>
  <sheetData>
    <row r="1" spans="2:15" ht="18.75" customHeight="1" thickBot="1"/>
    <row r="2" spans="2:15" ht="30" customHeight="1">
      <c r="B2" s="4"/>
      <c r="C2" s="30" t="s">
        <v>432</v>
      </c>
      <c r="D2" s="5"/>
      <c r="E2" s="6"/>
      <c r="F2" s="7"/>
      <c r="O2" s="23" t="s">
        <v>365</v>
      </c>
    </row>
    <row r="3" spans="2:15" ht="28.5" customHeight="1" thickBot="1">
      <c r="B3" s="8"/>
      <c r="C3" s="83" t="s">
        <v>1356</v>
      </c>
      <c r="D3" s="10"/>
      <c r="E3" s="9"/>
      <c r="F3" s="11"/>
      <c r="H3" s="3" t="s">
        <v>0</v>
      </c>
      <c r="I3" s="3" t="s">
        <v>1</v>
      </c>
      <c r="J3" s="3" t="s">
        <v>2</v>
      </c>
      <c r="K3" s="3" t="s">
        <v>3</v>
      </c>
      <c r="L3" s="24" t="s">
        <v>395</v>
      </c>
      <c r="M3" s="24" t="s">
        <v>396</v>
      </c>
      <c r="N3" s="22" t="s">
        <v>363</v>
      </c>
      <c r="O3" s="3" t="s">
        <v>364</v>
      </c>
    </row>
    <row r="4" spans="2:15" ht="14.25" customHeight="1" thickBot="1">
      <c r="B4" s="8"/>
      <c r="C4" s="12" t="s">
        <v>366</v>
      </c>
      <c r="D4" s="13">
        <f>ROUNDUP($O$640/1024,2)+ROUNDUP($O$642/1024,2)+ROUNDUP($O$643/1024,2)</f>
        <v>49.37</v>
      </c>
      <c r="E4" s="14" t="s">
        <v>367</v>
      </c>
      <c r="F4" s="11"/>
      <c r="H4" s="1">
        <v>1</v>
      </c>
      <c r="I4" s="2" t="s">
        <v>1149</v>
      </c>
      <c r="J4" s="33" t="s">
        <v>1302</v>
      </c>
      <c r="K4" s="33" t="s">
        <v>4</v>
      </c>
      <c r="L4" s="26">
        <v>1E-4</v>
      </c>
      <c r="M4" s="26">
        <v>2.0000000000000001E-4</v>
      </c>
      <c r="N4" s="27">
        <f>207*4*D20</f>
        <v>8280</v>
      </c>
      <c r="O4" s="34">
        <f>ROUND((L4+M4)*N4,4)</f>
        <v>2.484</v>
      </c>
    </row>
    <row r="5" spans="2:15" ht="14.25" customHeight="1">
      <c r="B5" s="8"/>
      <c r="C5" s="9"/>
      <c r="D5" s="15" t="str">
        <f>"(当初 "&amp;D20&amp;"ヶ年分）"</f>
        <v>(当初 10ヶ年分）</v>
      </c>
      <c r="E5" s="9"/>
      <c r="F5" s="11"/>
      <c r="H5" s="1">
        <v>2</v>
      </c>
      <c r="I5" s="2" t="s">
        <v>5</v>
      </c>
      <c r="J5" s="33" t="s">
        <v>6</v>
      </c>
      <c r="K5" s="33" t="s">
        <v>4</v>
      </c>
      <c r="L5" s="26">
        <v>1E-4</v>
      </c>
      <c r="M5" s="26">
        <v>1E-4</v>
      </c>
      <c r="N5" s="27">
        <v>243</v>
      </c>
      <c r="O5" s="34">
        <f t="shared" ref="O5:O68" si="0">(L5+M5)*N5</f>
        <v>4.8600000000000004E-2</v>
      </c>
    </row>
    <row r="6" spans="2:15" ht="14.25" customHeight="1">
      <c r="B6" s="8"/>
      <c r="C6" s="25" t="s">
        <v>368</v>
      </c>
      <c r="D6" s="16"/>
      <c r="E6" s="9"/>
      <c r="F6" s="11"/>
      <c r="H6" s="1">
        <v>3</v>
      </c>
      <c r="I6" s="2" t="s">
        <v>7</v>
      </c>
      <c r="J6" s="33" t="s">
        <v>8</v>
      </c>
      <c r="K6" s="33" t="s">
        <v>9</v>
      </c>
      <c r="L6" s="26">
        <v>1E-4</v>
      </c>
      <c r="M6" s="26">
        <v>1E-4</v>
      </c>
      <c r="N6" s="27">
        <v>2</v>
      </c>
      <c r="O6" s="34">
        <f t="shared" si="0"/>
        <v>4.0000000000000002E-4</v>
      </c>
    </row>
    <row r="7" spans="2:15" ht="14.25" customHeight="1">
      <c r="B7" s="41"/>
      <c r="C7" s="65" t="s">
        <v>394</v>
      </c>
      <c r="D7" s="66">
        <v>100000</v>
      </c>
      <c r="E7" s="40"/>
      <c r="F7" s="42"/>
      <c r="H7" s="1">
        <v>4</v>
      </c>
      <c r="I7" s="2" t="s">
        <v>10</v>
      </c>
      <c r="J7" s="33" t="s">
        <v>11</v>
      </c>
      <c r="K7" s="33" t="s">
        <v>9</v>
      </c>
      <c r="L7" s="26">
        <v>1E-4</v>
      </c>
      <c r="M7" s="26">
        <v>1E-4</v>
      </c>
      <c r="N7" s="27">
        <v>50</v>
      </c>
      <c r="O7" s="34">
        <f t="shared" si="0"/>
        <v>0.01</v>
      </c>
    </row>
    <row r="8" spans="2:15" ht="14.25" customHeight="1">
      <c r="B8" s="41"/>
      <c r="C8" s="65" t="s">
        <v>369</v>
      </c>
      <c r="D8" s="66">
        <v>150</v>
      </c>
      <c r="E8" s="40" t="s">
        <v>370</v>
      </c>
      <c r="F8" s="42"/>
      <c r="H8" s="1">
        <v>5</v>
      </c>
      <c r="I8" s="2" t="s">
        <v>12</v>
      </c>
      <c r="J8" s="33" t="s">
        <v>13</v>
      </c>
      <c r="K8" s="33" t="s">
        <v>4</v>
      </c>
      <c r="L8" s="26">
        <v>1E-4</v>
      </c>
      <c r="M8" s="26">
        <v>1E-4</v>
      </c>
      <c r="N8" s="27">
        <v>0</v>
      </c>
      <c r="O8" s="34">
        <f t="shared" si="0"/>
        <v>0</v>
      </c>
    </row>
    <row r="9" spans="2:15" ht="14.25" customHeight="1">
      <c r="B9" s="41"/>
      <c r="C9" s="65" t="s">
        <v>609</v>
      </c>
      <c r="D9" s="67">
        <v>5</v>
      </c>
      <c r="E9" s="40" t="s">
        <v>371</v>
      </c>
      <c r="F9" s="42"/>
      <c r="H9" s="1">
        <v>6</v>
      </c>
      <c r="I9" s="2" t="s">
        <v>14</v>
      </c>
      <c r="J9" s="33" t="s">
        <v>15</v>
      </c>
      <c r="K9" s="33" t="s">
        <v>4</v>
      </c>
      <c r="L9" s="26">
        <v>1E-4</v>
      </c>
      <c r="M9" s="26">
        <v>1E-4</v>
      </c>
      <c r="N9" s="27">
        <v>36</v>
      </c>
      <c r="O9" s="34">
        <f t="shared" si="0"/>
        <v>7.2000000000000007E-3</v>
      </c>
    </row>
    <row r="10" spans="2:15" ht="14.25" customHeight="1">
      <c r="B10" s="41"/>
      <c r="C10" s="65" t="s">
        <v>372</v>
      </c>
      <c r="D10" s="67">
        <v>50</v>
      </c>
      <c r="E10" s="40" t="s">
        <v>373</v>
      </c>
      <c r="F10" s="42"/>
      <c r="H10" s="1">
        <v>7</v>
      </c>
      <c r="I10" s="2" t="s">
        <v>16</v>
      </c>
      <c r="J10" s="33" t="s">
        <v>17</v>
      </c>
      <c r="K10" s="33" t="s">
        <v>4</v>
      </c>
      <c r="L10" s="26">
        <v>1E-4</v>
      </c>
      <c r="M10" s="26">
        <v>1E-4</v>
      </c>
      <c r="N10" s="27">
        <v>20</v>
      </c>
      <c r="O10" s="34">
        <f t="shared" si="0"/>
        <v>4.0000000000000001E-3</v>
      </c>
    </row>
    <row r="11" spans="2:15" ht="14.25" customHeight="1">
      <c r="B11" s="41"/>
      <c r="C11" s="38" t="s">
        <v>610</v>
      </c>
      <c r="D11" s="68">
        <v>0.3</v>
      </c>
      <c r="E11" s="40"/>
      <c r="F11" s="42"/>
      <c r="H11" s="1">
        <v>8</v>
      </c>
      <c r="I11" s="2" t="s">
        <v>18</v>
      </c>
      <c r="J11" s="33" t="s">
        <v>19</v>
      </c>
      <c r="K11" s="33" t="s">
        <v>9</v>
      </c>
      <c r="L11" s="26">
        <v>1E-4</v>
      </c>
      <c r="M11" s="26">
        <v>1E-4</v>
      </c>
      <c r="N11" s="27">
        <v>1</v>
      </c>
      <c r="O11" s="34">
        <f t="shared" si="0"/>
        <v>2.0000000000000001E-4</v>
      </c>
    </row>
    <row r="12" spans="2:15" ht="14.25" customHeight="1">
      <c r="B12" s="41"/>
      <c r="C12" s="69" t="s">
        <v>374</v>
      </c>
      <c r="D12" s="67">
        <v>30</v>
      </c>
      <c r="E12" s="40"/>
      <c r="F12" s="42"/>
      <c r="H12" s="1">
        <v>9</v>
      </c>
      <c r="I12" s="2" t="s">
        <v>20</v>
      </c>
      <c r="J12" s="33" t="s">
        <v>21</v>
      </c>
      <c r="K12" s="33" t="s">
        <v>9</v>
      </c>
      <c r="L12" s="26">
        <v>1E-4</v>
      </c>
      <c r="M12" s="26">
        <v>1E-4</v>
      </c>
      <c r="N12" s="27">
        <v>1</v>
      </c>
      <c r="O12" s="34">
        <f t="shared" si="0"/>
        <v>2.0000000000000001E-4</v>
      </c>
    </row>
    <row r="13" spans="2:15" ht="14.25" customHeight="1">
      <c r="B13" s="41"/>
      <c r="C13" s="69" t="s">
        <v>375</v>
      </c>
      <c r="D13" s="67">
        <v>10</v>
      </c>
      <c r="E13" s="40"/>
      <c r="F13" s="42"/>
      <c r="H13" s="1">
        <v>10</v>
      </c>
      <c r="I13" s="2" t="s">
        <v>22</v>
      </c>
      <c r="J13" s="33" t="s">
        <v>23</v>
      </c>
      <c r="K13" s="33" t="s">
        <v>9</v>
      </c>
      <c r="L13" s="26">
        <v>1E-4</v>
      </c>
      <c r="M13" s="26">
        <v>1E-4</v>
      </c>
      <c r="N13" s="27">
        <v>1</v>
      </c>
      <c r="O13" s="34">
        <f t="shared" si="0"/>
        <v>2.0000000000000001E-4</v>
      </c>
    </row>
    <row r="14" spans="2:15" ht="14.25" customHeight="1">
      <c r="B14" s="41"/>
      <c r="C14" s="69" t="s">
        <v>376</v>
      </c>
      <c r="D14" s="67">
        <v>0</v>
      </c>
      <c r="E14" s="40"/>
      <c r="F14" s="42"/>
      <c r="H14" s="1">
        <v>11</v>
      </c>
      <c r="I14" s="2" t="s">
        <v>616</v>
      </c>
      <c r="J14" s="33" t="s">
        <v>617</v>
      </c>
      <c r="K14" s="33" t="s">
        <v>4</v>
      </c>
      <c r="L14" s="26">
        <v>1E-4</v>
      </c>
      <c r="M14" s="26">
        <v>1E-4</v>
      </c>
      <c r="N14" s="27">
        <v>1</v>
      </c>
      <c r="O14" s="34">
        <f t="shared" si="0"/>
        <v>2.0000000000000001E-4</v>
      </c>
    </row>
    <row r="15" spans="2:15" ht="14.25" customHeight="1">
      <c r="B15" s="41"/>
      <c r="C15" s="69" t="s">
        <v>377</v>
      </c>
      <c r="D15" s="67">
        <v>0</v>
      </c>
      <c r="E15" s="40"/>
      <c r="F15" s="42"/>
      <c r="H15" s="1">
        <v>12</v>
      </c>
      <c r="I15" s="2" t="s">
        <v>24</v>
      </c>
      <c r="J15" s="33" t="s">
        <v>25</v>
      </c>
      <c r="K15" s="33" t="s">
        <v>4</v>
      </c>
      <c r="L15" s="26">
        <v>1E-4</v>
      </c>
      <c r="M15" s="26">
        <v>1E-4</v>
      </c>
      <c r="N15" s="27">
        <v>1</v>
      </c>
      <c r="O15" s="34">
        <f t="shared" si="0"/>
        <v>2.0000000000000001E-4</v>
      </c>
    </row>
    <row r="16" spans="2:15" ht="14.25" customHeight="1">
      <c r="B16" s="41"/>
      <c r="C16" s="38" t="s">
        <v>378</v>
      </c>
      <c r="D16" s="70">
        <v>35</v>
      </c>
      <c r="E16" s="40"/>
      <c r="F16" s="42"/>
      <c r="H16" s="1">
        <v>13</v>
      </c>
      <c r="I16" s="2" t="s">
        <v>26</v>
      </c>
      <c r="J16" s="33" t="s">
        <v>27</v>
      </c>
      <c r="K16" s="33" t="s">
        <v>9</v>
      </c>
      <c r="L16" s="26">
        <v>1E-4</v>
      </c>
      <c r="M16" s="26">
        <v>1E-4</v>
      </c>
      <c r="N16" s="27">
        <v>0</v>
      </c>
      <c r="O16" s="34">
        <f t="shared" si="0"/>
        <v>0</v>
      </c>
    </row>
    <row r="17" spans="2:15" ht="14.25" customHeight="1">
      <c r="B17" s="41"/>
      <c r="C17" s="38" t="s">
        <v>379</v>
      </c>
      <c r="D17" s="71">
        <f>D7*D11</f>
        <v>30000</v>
      </c>
      <c r="E17" s="40" t="s">
        <v>380</v>
      </c>
      <c r="F17" s="42"/>
      <c r="H17" s="1">
        <v>14</v>
      </c>
      <c r="I17" s="2" t="s">
        <v>580</v>
      </c>
      <c r="J17" s="33" t="s">
        <v>28</v>
      </c>
      <c r="K17" s="33" t="s">
        <v>9</v>
      </c>
      <c r="L17" s="26">
        <v>1E-4</v>
      </c>
      <c r="M17" s="26">
        <v>1E-4</v>
      </c>
      <c r="N17" s="27">
        <v>16000</v>
      </c>
      <c r="O17" s="34">
        <f t="shared" si="0"/>
        <v>3.2</v>
      </c>
    </row>
    <row r="18" spans="2:15" ht="14.25" customHeight="1">
      <c r="B18" s="41"/>
      <c r="C18" s="38" t="s">
        <v>880</v>
      </c>
      <c r="D18" s="71"/>
      <c r="E18" s="40" t="s">
        <v>381</v>
      </c>
      <c r="F18" s="42"/>
      <c r="H18" s="1">
        <v>15</v>
      </c>
      <c r="I18" s="2" t="s">
        <v>29</v>
      </c>
      <c r="J18" s="33" t="s">
        <v>30</v>
      </c>
      <c r="K18" s="33" t="s">
        <v>9</v>
      </c>
      <c r="L18" s="26">
        <v>1E-4</v>
      </c>
      <c r="M18" s="26">
        <v>1E-4</v>
      </c>
      <c r="N18" s="27">
        <v>100</v>
      </c>
      <c r="O18" s="34">
        <f t="shared" si="0"/>
        <v>0.02</v>
      </c>
    </row>
    <row r="19" spans="2:15" ht="14.25" customHeight="1">
      <c r="B19" s="41"/>
      <c r="C19" s="38" t="s">
        <v>382</v>
      </c>
      <c r="D19" s="28">
        <v>10</v>
      </c>
      <c r="E19" s="40"/>
      <c r="F19" s="42"/>
      <c r="H19" s="1">
        <v>16</v>
      </c>
      <c r="I19" s="2" t="s">
        <v>1281</v>
      </c>
      <c r="J19" s="33" t="s">
        <v>31</v>
      </c>
      <c r="K19" s="33" t="s">
        <v>4</v>
      </c>
      <c r="L19" s="26">
        <v>1E-4</v>
      </c>
      <c r="M19" s="26">
        <v>1E-4</v>
      </c>
      <c r="N19" s="27">
        <v>20</v>
      </c>
      <c r="O19" s="34">
        <f t="shared" si="0"/>
        <v>4.0000000000000001E-3</v>
      </c>
    </row>
    <row r="20" spans="2:15" ht="14.25" customHeight="1">
      <c r="B20" s="41"/>
      <c r="C20" s="38" t="s">
        <v>383</v>
      </c>
      <c r="D20" s="28">
        <v>10</v>
      </c>
      <c r="E20" s="40"/>
      <c r="F20" s="43"/>
      <c r="H20" s="1">
        <v>17</v>
      </c>
      <c r="I20" s="2" t="s">
        <v>32</v>
      </c>
      <c r="J20" s="33" t="s">
        <v>33</v>
      </c>
      <c r="K20" s="33" t="s">
        <v>9</v>
      </c>
      <c r="L20" s="26">
        <v>1E-4</v>
      </c>
      <c r="M20" s="26">
        <v>1E-4</v>
      </c>
      <c r="N20" s="27">
        <v>3</v>
      </c>
      <c r="O20" s="34">
        <f t="shared" si="0"/>
        <v>6.0000000000000006E-4</v>
      </c>
    </row>
    <row r="21" spans="2:15" ht="14.25" customHeight="1">
      <c r="B21" s="41"/>
      <c r="C21" s="38" t="s">
        <v>384</v>
      </c>
      <c r="D21" s="28">
        <v>100</v>
      </c>
      <c r="E21" s="40"/>
      <c r="F21" s="42"/>
      <c r="H21" s="1">
        <v>18</v>
      </c>
      <c r="I21" s="2" t="s">
        <v>34</v>
      </c>
      <c r="J21" s="33" t="s">
        <v>35</v>
      </c>
      <c r="K21" s="33" t="s">
        <v>9</v>
      </c>
      <c r="L21" s="26">
        <v>1E-4</v>
      </c>
      <c r="M21" s="26">
        <v>1E-4</v>
      </c>
      <c r="N21" s="27">
        <v>1</v>
      </c>
      <c r="O21" s="34">
        <f t="shared" si="0"/>
        <v>2.0000000000000001E-4</v>
      </c>
    </row>
    <row r="22" spans="2:15" ht="14.25" customHeight="1">
      <c r="B22" s="41"/>
      <c r="C22" s="38" t="s">
        <v>385</v>
      </c>
      <c r="D22" s="28">
        <v>25</v>
      </c>
      <c r="E22" s="40"/>
      <c r="F22" s="42"/>
      <c r="H22" s="1">
        <v>19</v>
      </c>
      <c r="I22" s="2" t="s">
        <v>36</v>
      </c>
      <c r="J22" s="33" t="s">
        <v>37</v>
      </c>
      <c r="K22" s="33" t="s">
        <v>4</v>
      </c>
      <c r="L22" s="26">
        <v>1E-4</v>
      </c>
      <c r="M22" s="26">
        <v>1E-4</v>
      </c>
      <c r="N22" s="27">
        <v>1</v>
      </c>
      <c r="O22" s="34">
        <f t="shared" si="0"/>
        <v>2.0000000000000001E-4</v>
      </c>
    </row>
    <row r="23" spans="2:15" ht="14.25" customHeight="1">
      <c r="B23" s="41"/>
      <c r="C23" s="38" t="s">
        <v>386</v>
      </c>
      <c r="D23" s="28">
        <v>0</v>
      </c>
      <c r="E23" s="40"/>
      <c r="F23" s="42"/>
      <c r="H23" s="1">
        <v>20</v>
      </c>
      <c r="I23" s="2" t="s">
        <v>38</v>
      </c>
      <c r="J23" s="33" t="s">
        <v>39</v>
      </c>
      <c r="K23" s="33" t="s">
        <v>9</v>
      </c>
      <c r="L23" s="26">
        <v>1E-4</v>
      </c>
      <c r="M23" s="26">
        <v>1E-4</v>
      </c>
      <c r="N23" s="27">
        <v>1</v>
      </c>
      <c r="O23" s="34">
        <f t="shared" si="0"/>
        <v>2.0000000000000001E-4</v>
      </c>
    </row>
    <row r="24" spans="2:15" ht="14.25" customHeight="1">
      <c r="B24" s="41"/>
      <c r="C24" s="38" t="s">
        <v>430</v>
      </c>
      <c r="D24" s="28">
        <v>10000</v>
      </c>
      <c r="E24" s="40"/>
      <c r="F24" s="42"/>
      <c r="H24" s="1">
        <v>21</v>
      </c>
      <c r="I24" s="2" t="s">
        <v>40</v>
      </c>
      <c r="J24" s="33" t="s">
        <v>1303</v>
      </c>
      <c r="K24" s="33" t="s">
        <v>9</v>
      </c>
      <c r="L24" s="26">
        <v>1E-4</v>
      </c>
      <c r="M24" s="26">
        <v>2.0000000000000001E-4</v>
      </c>
      <c r="N24" s="27">
        <v>195</v>
      </c>
      <c r="O24" s="34">
        <f t="shared" si="0"/>
        <v>5.8500000000000003E-2</v>
      </c>
    </row>
    <row r="25" spans="2:15" ht="14.25" customHeight="1">
      <c r="B25" s="41"/>
      <c r="C25" s="38" t="s">
        <v>594</v>
      </c>
      <c r="D25" s="28">
        <v>0</v>
      </c>
      <c r="E25" s="40"/>
      <c r="F25" s="42"/>
      <c r="H25" s="1">
        <v>22</v>
      </c>
      <c r="I25" s="2" t="s">
        <v>41</v>
      </c>
      <c r="J25" s="33" t="s">
        <v>42</v>
      </c>
      <c r="K25" s="33" t="s">
        <v>9</v>
      </c>
      <c r="L25" s="26">
        <v>1E-4</v>
      </c>
      <c r="M25" s="26">
        <v>2.0000000000000001E-4</v>
      </c>
      <c r="N25" s="27">
        <f>N33</f>
        <v>1000</v>
      </c>
      <c r="O25" s="34">
        <f t="shared" si="0"/>
        <v>0.30000000000000004</v>
      </c>
    </row>
    <row r="26" spans="2:15" ht="14.25" customHeight="1">
      <c r="B26" s="41"/>
      <c r="C26" s="38" t="s">
        <v>600</v>
      </c>
      <c r="D26" s="68">
        <v>0</v>
      </c>
      <c r="E26" s="40"/>
      <c r="F26" s="42"/>
      <c r="H26" s="1">
        <v>23</v>
      </c>
      <c r="I26" s="2" t="s">
        <v>43</v>
      </c>
      <c r="J26" s="33" t="s">
        <v>44</v>
      </c>
      <c r="K26" s="33" t="s">
        <v>9</v>
      </c>
      <c r="L26" s="26">
        <v>1E-4</v>
      </c>
      <c r="M26" s="26">
        <v>2.0000000000000001E-4</v>
      </c>
      <c r="N26" s="27">
        <f>N25</f>
        <v>1000</v>
      </c>
      <c r="O26" s="34">
        <f t="shared" si="0"/>
        <v>0.30000000000000004</v>
      </c>
    </row>
    <row r="27" spans="2:15" ht="14.25" customHeight="1">
      <c r="B27" s="41"/>
      <c r="C27" s="39" t="s">
        <v>884</v>
      </c>
      <c r="D27" s="44">
        <v>1</v>
      </c>
      <c r="E27" s="40"/>
      <c r="F27" s="42"/>
      <c r="H27" s="1">
        <v>24</v>
      </c>
      <c r="I27" s="2" t="s">
        <v>45</v>
      </c>
      <c r="J27" s="33" t="s">
        <v>46</v>
      </c>
      <c r="K27" s="33" t="s">
        <v>4</v>
      </c>
      <c r="L27" s="26">
        <v>2.0000000000000001E-4</v>
      </c>
      <c r="M27" s="26">
        <v>2.0000000000000001E-4</v>
      </c>
      <c r="N27" s="27">
        <f>D23</f>
        <v>0</v>
      </c>
      <c r="O27" s="34">
        <f t="shared" si="0"/>
        <v>0</v>
      </c>
    </row>
    <row r="28" spans="2:15" ht="14.25" customHeight="1">
      <c r="B28" s="41"/>
      <c r="C28" s="39" t="s">
        <v>1103</v>
      </c>
      <c r="D28" s="44">
        <v>1</v>
      </c>
      <c r="E28" s="19"/>
      <c r="F28" s="43"/>
      <c r="H28" s="1">
        <v>25</v>
      </c>
      <c r="I28" s="2" t="s">
        <v>47</v>
      </c>
      <c r="J28" s="33" t="s">
        <v>48</v>
      </c>
      <c r="K28" s="33" t="s">
        <v>4</v>
      </c>
      <c r="L28" s="26">
        <v>2.0000000000000001E-4</v>
      </c>
      <c r="M28" s="26">
        <v>2.0000000000000001E-4</v>
      </c>
      <c r="N28" s="27">
        <f>N27</f>
        <v>0</v>
      </c>
      <c r="O28" s="34">
        <f t="shared" si="0"/>
        <v>0</v>
      </c>
    </row>
    <row r="29" spans="2:15" ht="14.25" customHeight="1">
      <c r="B29" s="41"/>
      <c r="C29" s="39" t="s">
        <v>1313</v>
      </c>
      <c r="D29" s="44">
        <v>1</v>
      </c>
      <c r="E29" s="19"/>
      <c r="F29" s="43"/>
      <c r="H29" s="1">
        <v>26</v>
      </c>
      <c r="I29" s="2" t="s">
        <v>49</v>
      </c>
      <c r="J29" s="33" t="s">
        <v>50</v>
      </c>
      <c r="K29" s="33" t="s">
        <v>9</v>
      </c>
      <c r="L29" s="26">
        <v>1E-4</v>
      </c>
      <c r="M29" s="26">
        <v>1E-4</v>
      </c>
      <c r="N29" s="27">
        <v>70000</v>
      </c>
      <c r="O29" s="34">
        <f t="shared" si="0"/>
        <v>14</v>
      </c>
    </row>
    <row r="30" spans="2:15" ht="14.25" customHeight="1">
      <c r="B30" s="41"/>
      <c r="C30" s="84" t="s">
        <v>1359</v>
      </c>
      <c r="D30" s="44">
        <v>5</v>
      </c>
      <c r="E30" s="19"/>
      <c r="F30" s="43"/>
      <c r="H30" s="1">
        <v>27</v>
      </c>
      <c r="I30" s="2" t="s">
        <v>51</v>
      </c>
      <c r="J30" s="33" t="s">
        <v>52</v>
      </c>
      <c r="K30" s="33" t="s">
        <v>9</v>
      </c>
      <c r="L30" s="26">
        <v>1E-4</v>
      </c>
      <c r="M30" s="26">
        <v>1E-4</v>
      </c>
      <c r="N30" s="27">
        <v>10</v>
      </c>
      <c r="O30" s="34">
        <f t="shared" si="0"/>
        <v>2E-3</v>
      </c>
    </row>
    <row r="31" spans="2:15" ht="14.25" customHeight="1">
      <c r="B31" s="41"/>
      <c r="C31" s="72"/>
      <c r="D31" s="72"/>
      <c r="E31" s="19"/>
      <c r="F31" s="43"/>
      <c r="H31" s="1">
        <v>28</v>
      </c>
      <c r="I31" s="2" t="s">
        <v>53</v>
      </c>
      <c r="J31" s="33" t="s">
        <v>54</v>
      </c>
      <c r="K31" s="33" t="s">
        <v>9</v>
      </c>
      <c r="L31" s="26">
        <v>1E-4</v>
      </c>
      <c r="M31" s="26">
        <v>1E-4</v>
      </c>
      <c r="N31" s="27">
        <v>400</v>
      </c>
      <c r="O31" s="34">
        <f t="shared" si="0"/>
        <v>0.08</v>
      </c>
    </row>
    <row r="32" spans="2:15" ht="14.25" customHeight="1">
      <c r="B32" s="41"/>
      <c r="C32" s="25" t="s">
        <v>399</v>
      </c>
      <c r="D32" s="73"/>
      <c r="E32" s="40"/>
      <c r="F32" s="42"/>
      <c r="H32" s="1">
        <v>29</v>
      </c>
      <c r="I32" s="2" t="s">
        <v>579</v>
      </c>
      <c r="J32" s="33" t="s">
        <v>55</v>
      </c>
      <c r="K32" s="33" t="s">
        <v>9</v>
      </c>
      <c r="L32" s="26">
        <v>1E-4</v>
      </c>
      <c r="M32" s="26">
        <v>1E-4</v>
      </c>
      <c r="N32" s="27">
        <v>10</v>
      </c>
      <c r="O32" s="34">
        <f t="shared" si="0"/>
        <v>2E-3</v>
      </c>
    </row>
    <row r="33" spans="2:15" ht="15" customHeight="1">
      <c r="B33" s="41"/>
      <c r="C33" s="65" t="s">
        <v>388</v>
      </c>
      <c r="D33" s="28">
        <v>3000</v>
      </c>
      <c r="E33" s="40"/>
      <c r="F33" s="42"/>
      <c r="H33" s="1">
        <v>30</v>
      </c>
      <c r="I33" s="2" t="s">
        <v>56</v>
      </c>
      <c r="J33" s="33" t="s">
        <v>57</v>
      </c>
      <c r="K33" s="33" t="s">
        <v>9</v>
      </c>
      <c r="L33" s="26">
        <v>1E-4</v>
      </c>
      <c r="M33" s="26">
        <v>1E-4</v>
      </c>
      <c r="N33" s="27">
        <v>1000</v>
      </c>
      <c r="O33" s="34">
        <f t="shared" si="0"/>
        <v>0.2</v>
      </c>
    </row>
    <row r="34" spans="2:15" ht="14.25" customHeight="1">
      <c r="B34" s="41"/>
      <c r="C34" s="54" t="s">
        <v>390</v>
      </c>
      <c r="D34" s="28">
        <v>3000</v>
      </c>
      <c r="E34" s="40"/>
      <c r="F34" s="42"/>
      <c r="H34" s="1">
        <v>31</v>
      </c>
      <c r="I34" s="2" t="s">
        <v>58</v>
      </c>
      <c r="J34" s="33" t="s">
        <v>59</v>
      </c>
      <c r="K34" s="33" t="s">
        <v>9</v>
      </c>
      <c r="L34" s="26">
        <v>1E-4</v>
      </c>
      <c r="M34" s="26">
        <v>1E-4</v>
      </c>
      <c r="N34" s="27">
        <f>N33</f>
        <v>1000</v>
      </c>
      <c r="O34" s="34">
        <f t="shared" si="0"/>
        <v>0.2</v>
      </c>
    </row>
    <row r="35" spans="2:15" ht="14.25" customHeight="1">
      <c r="B35" s="41"/>
      <c r="C35" s="54" t="s">
        <v>391</v>
      </c>
      <c r="D35" s="28">
        <v>5</v>
      </c>
      <c r="E35" s="40"/>
      <c r="F35" s="42"/>
      <c r="H35" s="1">
        <v>32</v>
      </c>
      <c r="I35" s="2" t="s">
        <v>1308</v>
      </c>
      <c r="J35" s="33" t="s">
        <v>577</v>
      </c>
      <c r="K35" s="33" t="s">
        <v>4</v>
      </c>
      <c r="L35" s="26">
        <v>1E-4</v>
      </c>
      <c r="M35" s="26">
        <v>1E-4</v>
      </c>
      <c r="N35" s="27">
        <f>N33*N168</f>
        <v>20000</v>
      </c>
      <c r="O35" s="34">
        <f t="shared" si="0"/>
        <v>4</v>
      </c>
    </row>
    <row r="36" spans="2:15" ht="14.25" customHeight="1">
      <c r="B36" s="41"/>
      <c r="C36" s="38" t="s">
        <v>644</v>
      </c>
      <c r="D36" s="28">
        <v>0</v>
      </c>
      <c r="E36" s="40"/>
      <c r="F36" s="42"/>
      <c r="H36" s="55">
        <v>33</v>
      </c>
      <c r="I36" s="56" t="s">
        <v>60</v>
      </c>
      <c r="J36" s="57" t="s">
        <v>61</v>
      </c>
      <c r="K36" s="57" t="s">
        <v>9</v>
      </c>
      <c r="L36" s="58">
        <v>1E-4</v>
      </c>
      <c r="M36" s="58">
        <v>1E-4</v>
      </c>
      <c r="N36" s="60">
        <v>0</v>
      </c>
      <c r="O36" s="59">
        <f t="shared" si="0"/>
        <v>0</v>
      </c>
    </row>
    <row r="37" spans="2:15" ht="14.25" customHeight="1">
      <c r="B37" s="41"/>
      <c r="C37" s="52" t="s">
        <v>1029</v>
      </c>
      <c r="D37" s="44">
        <v>0</v>
      </c>
      <c r="E37" s="40"/>
      <c r="F37" s="42"/>
      <c r="H37" s="1">
        <v>34</v>
      </c>
      <c r="I37" s="2" t="s">
        <v>62</v>
      </c>
      <c r="J37" s="33" t="s">
        <v>63</v>
      </c>
      <c r="K37" s="33" t="s">
        <v>4</v>
      </c>
      <c r="L37" s="26">
        <v>1E-4</v>
      </c>
      <c r="M37" s="26">
        <v>1E-4</v>
      </c>
      <c r="N37" s="27">
        <v>5</v>
      </c>
      <c r="O37" s="34">
        <f t="shared" si="0"/>
        <v>1E-3</v>
      </c>
    </row>
    <row r="38" spans="2:15" ht="14.25" customHeight="1">
      <c r="B38" s="41"/>
      <c r="C38" s="52" t="s">
        <v>1280</v>
      </c>
      <c r="D38" s="44">
        <v>150</v>
      </c>
      <c r="E38" s="40"/>
      <c r="F38" s="42"/>
      <c r="H38" s="1">
        <v>35</v>
      </c>
      <c r="I38" s="2" t="s">
        <v>64</v>
      </c>
      <c r="J38" s="33" t="s">
        <v>65</v>
      </c>
      <c r="K38" s="33" t="s">
        <v>9</v>
      </c>
      <c r="L38" s="26">
        <v>1E-4</v>
      </c>
      <c r="M38" s="26">
        <v>1E-4</v>
      </c>
      <c r="N38" s="27">
        <v>10</v>
      </c>
      <c r="O38" s="34">
        <f t="shared" si="0"/>
        <v>2E-3</v>
      </c>
    </row>
    <row r="39" spans="2:15" ht="14.25" customHeight="1">
      <c r="B39" s="41"/>
      <c r="C39" s="74"/>
      <c r="D39" s="75"/>
      <c r="E39" s="40"/>
      <c r="F39" s="42"/>
      <c r="H39" s="1">
        <v>36</v>
      </c>
      <c r="I39" s="2" t="s">
        <v>66</v>
      </c>
      <c r="J39" s="33" t="s">
        <v>67</v>
      </c>
      <c r="K39" s="33" t="s">
        <v>9</v>
      </c>
      <c r="L39" s="26">
        <v>1E-4</v>
      </c>
      <c r="M39" s="26">
        <v>1E-4</v>
      </c>
      <c r="N39" s="27">
        <v>1</v>
      </c>
      <c r="O39" s="34">
        <f t="shared" si="0"/>
        <v>2.0000000000000001E-4</v>
      </c>
    </row>
    <row r="40" spans="2:15" ht="14.25" customHeight="1">
      <c r="B40" s="41"/>
      <c r="C40" s="25" t="s">
        <v>1101</v>
      </c>
      <c r="D40" s="53"/>
      <c r="E40" s="40"/>
      <c r="F40" s="42"/>
      <c r="H40" s="1">
        <v>37</v>
      </c>
      <c r="I40" s="2" t="s">
        <v>68</v>
      </c>
      <c r="J40" s="33" t="s">
        <v>69</v>
      </c>
      <c r="K40" s="33" t="s">
        <v>9</v>
      </c>
      <c r="L40" s="26">
        <v>2.0000000000000001E-4</v>
      </c>
      <c r="M40" s="26">
        <v>2.0000000000000001E-4</v>
      </c>
      <c r="N40" s="27">
        <f>D24*12*D19</f>
        <v>1200000</v>
      </c>
      <c r="O40" s="34">
        <f t="shared" si="0"/>
        <v>480</v>
      </c>
    </row>
    <row r="41" spans="2:15" ht="14.25" customHeight="1">
      <c r="B41" s="41"/>
      <c r="C41" s="54" t="s">
        <v>1295</v>
      </c>
      <c r="D41" s="28">
        <v>500</v>
      </c>
      <c r="E41" s="40"/>
      <c r="F41" s="42"/>
      <c r="H41" s="1">
        <v>38</v>
      </c>
      <c r="I41" s="2" t="s">
        <v>70</v>
      </c>
      <c r="J41" s="33" t="s">
        <v>71</v>
      </c>
      <c r="K41" s="33" t="s">
        <v>9</v>
      </c>
      <c r="L41" s="26">
        <v>1E-4</v>
      </c>
      <c r="M41" s="26">
        <v>1E-4</v>
      </c>
      <c r="N41" s="27">
        <v>0</v>
      </c>
      <c r="O41" s="34">
        <f t="shared" si="0"/>
        <v>0</v>
      </c>
    </row>
    <row r="42" spans="2:15" ht="14.25" customHeight="1">
      <c r="B42" s="41"/>
      <c r="C42" s="29" t="s">
        <v>1102</v>
      </c>
      <c r="D42" s="28">
        <v>300</v>
      </c>
      <c r="E42" s="40"/>
      <c r="F42" s="42"/>
      <c r="H42" s="1">
        <v>39</v>
      </c>
      <c r="I42" s="2" t="s">
        <v>72</v>
      </c>
      <c r="J42" s="33" t="s">
        <v>73</v>
      </c>
      <c r="K42" s="33" t="s">
        <v>4</v>
      </c>
      <c r="L42" s="26">
        <v>2.0000000000000001E-4</v>
      </c>
      <c r="M42" s="26">
        <v>2.0000000000000001E-4</v>
      </c>
      <c r="N42" s="27">
        <f>D24*12*D19</f>
        <v>1200000</v>
      </c>
      <c r="O42" s="34">
        <f t="shared" si="0"/>
        <v>480</v>
      </c>
    </row>
    <row r="43" spans="2:15" ht="14.25" customHeight="1">
      <c r="B43" s="41"/>
      <c r="C43" s="54" t="s">
        <v>883</v>
      </c>
      <c r="D43" s="28">
        <v>5</v>
      </c>
      <c r="E43" s="40"/>
      <c r="F43" s="42"/>
      <c r="H43" s="1">
        <v>40</v>
      </c>
      <c r="I43" s="2" t="s">
        <v>74</v>
      </c>
      <c r="J43" s="33" t="s">
        <v>75</v>
      </c>
      <c r="K43" s="33" t="s">
        <v>9</v>
      </c>
      <c r="L43" s="26">
        <v>2.0000000000000001E-4</v>
      </c>
      <c r="M43" s="26">
        <v>2.0000000000000001E-4</v>
      </c>
      <c r="N43" s="27">
        <f>D24*12*D19</f>
        <v>1200000</v>
      </c>
      <c r="O43" s="34">
        <f t="shared" si="0"/>
        <v>480</v>
      </c>
    </row>
    <row r="44" spans="2:15" ht="14.25" customHeight="1">
      <c r="B44" s="41"/>
      <c r="C44" s="76"/>
      <c r="D44" s="77"/>
      <c r="E44" s="40"/>
      <c r="F44" s="42"/>
      <c r="H44" s="1">
        <v>41</v>
      </c>
      <c r="I44" s="2" t="s">
        <v>76</v>
      </c>
      <c r="J44" s="33" t="s">
        <v>77</v>
      </c>
      <c r="K44" s="33" t="s">
        <v>9</v>
      </c>
      <c r="L44" s="26">
        <v>1E-4</v>
      </c>
      <c r="M44" s="26">
        <v>1E-4</v>
      </c>
      <c r="N44" s="27">
        <v>10</v>
      </c>
      <c r="O44" s="34">
        <f t="shared" si="0"/>
        <v>2E-3</v>
      </c>
    </row>
    <row r="45" spans="2:15" ht="14.25" customHeight="1">
      <c r="B45" s="41"/>
      <c r="C45" s="25" t="s">
        <v>400</v>
      </c>
      <c r="D45" s="78"/>
      <c r="E45" s="40"/>
      <c r="F45" s="42"/>
      <c r="H45" s="1">
        <v>42</v>
      </c>
      <c r="I45" s="2" t="s">
        <v>78</v>
      </c>
      <c r="J45" s="33" t="s">
        <v>79</v>
      </c>
      <c r="K45" s="33" t="s">
        <v>9</v>
      </c>
      <c r="L45" s="26">
        <v>1E-4</v>
      </c>
      <c r="M45" s="26">
        <v>1E-4</v>
      </c>
      <c r="N45" s="27">
        <v>10</v>
      </c>
      <c r="O45" s="34">
        <f t="shared" si="0"/>
        <v>2E-3</v>
      </c>
    </row>
    <row r="46" spans="2:15" ht="14.25" customHeight="1">
      <c r="B46" s="41"/>
      <c r="C46" s="65" t="s">
        <v>1296</v>
      </c>
      <c r="D46" s="28">
        <v>5000</v>
      </c>
      <c r="E46" s="40"/>
      <c r="F46" s="42"/>
      <c r="H46" s="1">
        <v>43</v>
      </c>
      <c r="I46" s="2" t="s">
        <v>80</v>
      </c>
      <c r="J46" s="33" t="s">
        <v>81</v>
      </c>
      <c r="K46" s="33" t="s">
        <v>9</v>
      </c>
      <c r="L46" s="26">
        <v>1E-4</v>
      </c>
      <c r="M46" s="26">
        <v>1E-4</v>
      </c>
      <c r="N46" s="27">
        <v>0</v>
      </c>
      <c r="O46" s="34">
        <f t="shared" si="0"/>
        <v>0</v>
      </c>
    </row>
    <row r="47" spans="2:15" ht="14.25" customHeight="1">
      <c r="B47" s="41"/>
      <c r="C47" s="29" t="s">
        <v>614</v>
      </c>
      <c r="D47" s="79">
        <v>10000</v>
      </c>
      <c r="E47" s="40"/>
      <c r="F47" s="42"/>
      <c r="H47" s="1">
        <v>44</v>
      </c>
      <c r="I47" s="2" t="s">
        <v>82</v>
      </c>
      <c r="J47" s="33" t="s">
        <v>83</v>
      </c>
      <c r="K47" s="33" t="s">
        <v>9</v>
      </c>
      <c r="L47" s="26">
        <v>1E-4</v>
      </c>
      <c r="M47" s="26">
        <v>1E-4</v>
      </c>
      <c r="N47" s="27">
        <f>D10</f>
        <v>50</v>
      </c>
      <c r="O47" s="34">
        <f t="shared" si="0"/>
        <v>0.01</v>
      </c>
    </row>
    <row r="48" spans="2:15" ht="14.25" customHeight="1">
      <c r="B48" s="41"/>
      <c r="C48" s="54" t="s">
        <v>883</v>
      </c>
      <c r="D48" s="28">
        <v>3</v>
      </c>
      <c r="E48" s="40"/>
      <c r="F48" s="42"/>
      <c r="H48" s="1">
        <v>45</v>
      </c>
      <c r="I48" s="2" t="s">
        <v>84</v>
      </c>
      <c r="J48" s="33" t="s">
        <v>85</v>
      </c>
      <c r="K48" s="33" t="s">
        <v>9</v>
      </c>
      <c r="L48" s="26">
        <v>1E-4</v>
      </c>
      <c r="M48" s="26">
        <v>1E-4</v>
      </c>
      <c r="N48" s="27">
        <f>D10*2</f>
        <v>100</v>
      </c>
      <c r="O48" s="34">
        <f t="shared" si="0"/>
        <v>0.02</v>
      </c>
    </row>
    <row r="49" spans="2:15" ht="14.25" customHeight="1">
      <c r="B49" s="41"/>
      <c r="C49" s="65" t="s">
        <v>1297</v>
      </c>
      <c r="D49" s="28">
        <v>4500</v>
      </c>
      <c r="E49" s="19"/>
      <c r="F49" s="43"/>
      <c r="H49" s="1">
        <v>46</v>
      </c>
      <c r="I49" s="2" t="s">
        <v>86</v>
      </c>
      <c r="J49" s="33" t="s">
        <v>1306</v>
      </c>
      <c r="K49" s="33" t="s">
        <v>4</v>
      </c>
      <c r="L49" s="26">
        <v>2.0000000000000001E-4</v>
      </c>
      <c r="M49" s="26">
        <v>5.0000000000000001E-4</v>
      </c>
      <c r="N49" s="27">
        <f>D49*12*D19</f>
        <v>540000</v>
      </c>
      <c r="O49" s="34">
        <f t="shared" si="0"/>
        <v>378</v>
      </c>
    </row>
    <row r="50" spans="2:15" ht="14.25" customHeight="1">
      <c r="B50" s="41"/>
      <c r="C50" s="65" t="s">
        <v>431</v>
      </c>
      <c r="D50" s="28">
        <v>500</v>
      </c>
      <c r="E50" s="19"/>
      <c r="F50" s="43"/>
      <c r="H50" s="1">
        <v>47</v>
      </c>
      <c r="I50" s="2" t="s">
        <v>87</v>
      </c>
      <c r="J50" s="33" t="s">
        <v>88</v>
      </c>
      <c r="K50" s="33" t="s">
        <v>4</v>
      </c>
      <c r="L50" s="26">
        <v>1E-4</v>
      </c>
      <c r="M50" s="26">
        <v>2.0000000000000001E-4</v>
      </c>
      <c r="N50" s="27">
        <v>100</v>
      </c>
      <c r="O50" s="34">
        <f t="shared" si="0"/>
        <v>3.0000000000000002E-2</v>
      </c>
    </row>
    <row r="51" spans="2:15" ht="14.25" customHeight="1">
      <c r="B51" s="41"/>
      <c r="C51" s="38" t="s">
        <v>595</v>
      </c>
      <c r="D51" s="28">
        <v>0</v>
      </c>
      <c r="E51" s="19"/>
      <c r="F51" s="43"/>
      <c r="H51" s="1">
        <v>48</v>
      </c>
      <c r="I51" s="2" t="s">
        <v>440</v>
      </c>
      <c r="J51" s="33" t="s">
        <v>89</v>
      </c>
      <c r="K51" s="33" t="s">
        <v>4</v>
      </c>
      <c r="L51" s="26">
        <v>1E-4</v>
      </c>
      <c r="M51" s="26">
        <v>2.0000000000000001E-4</v>
      </c>
      <c r="N51" s="27">
        <f>D42*12*D19</f>
        <v>36000</v>
      </c>
      <c r="O51" s="34">
        <f t="shared" si="0"/>
        <v>10.8</v>
      </c>
    </row>
    <row r="52" spans="2:15" ht="14.25" customHeight="1">
      <c r="B52" s="41"/>
      <c r="C52" s="52" t="s">
        <v>1029</v>
      </c>
      <c r="D52" s="44">
        <v>0</v>
      </c>
      <c r="E52" s="40"/>
      <c r="F52" s="42"/>
      <c r="H52" s="1">
        <v>49</v>
      </c>
      <c r="I52" s="2" t="s">
        <v>90</v>
      </c>
      <c r="J52" s="33" t="s">
        <v>91</v>
      </c>
      <c r="K52" s="33" t="s">
        <v>4</v>
      </c>
      <c r="L52" s="26">
        <v>1E-4</v>
      </c>
      <c r="M52" s="26">
        <v>1E-4</v>
      </c>
      <c r="N52" s="27">
        <f>N55*5</f>
        <v>1255</v>
      </c>
      <c r="O52" s="34">
        <f t="shared" si="0"/>
        <v>0.251</v>
      </c>
    </row>
    <row r="53" spans="2:15" ht="14.25" customHeight="1">
      <c r="B53" s="41"/>
      <c r="C53" s="52" t="s">
        <v>1279</v>
      </c>
      <c r="D53" s="44">
        <v>150</v>
      </c>
      <c r="E53" s="40"/>
      <c r="F53" s="42"/>
      <c r="H53" s="1">
        <v>50</v>
      </c>
      <c r="I53" s="2" t="s">
        <v>92</v>
      </c>
      <c r="J53" s="33" t="s">
        <v>93</v>
      </c>
      <c r="K53" s="33" t="s">
        <v>4</v>
      </c>
      <c r="L53" s="26">
        <v>1E-4</v>
      </c>
      <c r="M53" s="26">
        <v>1E-4</v>
      </c>
      <c r="N53" s="27">
        <v>10</v>
      </c>
      <c r="O53" s="34">
        <f t="shared" si="0"/>
        <v>2E-3</v>
      </c>
    </row>
    <row r="54" spans="2:15">
      <c r="B54" s="41"/>
      <c r="C54" s="72"/>
      <c r="D54" s="72"/>
      <c r="E54" s="45"/>
      <c r="F54" s="47"/>
      <c r="H54" s="1">
        <v>51</v>
      </c>
      <c r="I54" s="2" t="s">
        <v>94</v>
      </c>
      <c r="J54" s="33" t="s">
        <v>570</v>
      </c>
      <c r="K54" s="33" t="s">
        <v>4</v>
      </c>
      <c r="L54" s="26">
        <v>1E-4</v>
      </c>
      <c r="M54" s="26">
        <v>1E-4</v>
      </c>
      <c r="N54" s="27">
        <v>5</v>
      </c>
      <c r="O54" s="34">
        <f t="shared" si="0"/>
        <v>1E-3</v>
      </c>
    </row>
    <row r="55" spans="2:15" ht="14.25" customHeight="1">
      <c r="B55" s="41"/>
      <c r="C55" s="25" t="s">
        <v>1270</v>
      </c>
      <c r="D55" s="72"/>
      <c r="E55" s="45"/>
      <c r="F55" s="47"/>
      <c r="H55" s="1">
        <v>52</v>
      </c>
      <c r="I55" s="2" t="s">
        <v>95</v>
      </c>
      <c r="J55" s="33" t="s">
        <v>96</v>
      </c>
      <c r="K55" s="33" t="s">
        <v>4</v>
      </c>
      <c r="L55" s="26">
        <v>1E-4</v>
      </c>
      <c r="M55" s="26">
        <v>2.0000000000000001E-4</v>
      </c>
      <c r="N55" s="27">
        <f>D8+101</f>
        <v>251</v>
      </c>
      <c r="O55" s="34">
        <f t="shared" si="0"/>
        <v>7.5300000000000006E-2</v>
      </c>
    </row>
    <row r="56" spans="2:15" ht="14.25" customHeight="1">
      <c r="B56" s="46"/>
      <c r="C56" s="38" t="s">
        <v>645</v>
      </c>
      <c r="D56" s="28">
        <v>0</v>
      </c>
      <c r="E56" s="45"/>
      <c r="F56" s="47"/>
      <c r="H56" s="1">
        <v>53</v>
      </c>
      <c r="I56" s="2" t="s">
        <v>97</v>
      </c>
      <c r="J56" s="33" t="s">
        <v>98</v>
      </c>
      <c r="K56" s="33" t="s">
        <v>4</v>
      </c>
      <c r="L56" s="26">
        <v>1E-4</v>
      </c>
      <c r="M56" s="26">
        <v>2.0000000000000001E-4</v>
      </c>
      <c r="N56" s="27">
        <f>N55</f>
        <v>251</v>
      </c>
      <c r="O56" s="34">
        <f t="shared" si="0"/>
        <v>7.5300000000000006E-2</v>
      </c>
    </row>
    <row r="57" spans="2:15" ht="14.25" customHeight="1">
      <c r="B57" s="46"/>
      <c r="C57" s="72"/>
      <c r="D57" s="72"/>
      <c r="E57" s="45"/>
      <c r="F57" s="47"/>
      <c r="H57" s="1">
        <v>54</v>
      </c>
      <c r="I57" s="2" t="s">
        <v>99</v>
      </c>
      <c r="J57" s="33" t="s">
        <v>100</v>
      </c>
      <c r="K57" s="33" t="s">
        <v>4</v>
      </c>
      <c r="L57" s="26">
        <v>1E-4</v>
      </c>
      <c r="M57" s="26">
        <v>1E-4</v>
      </c>
      <c r="N57" s="27">
        <f>12*D19</f>
        <v>120</v>
      </c>
      <c r="O57" s="34">
        <f t="shared" si="0"/>
        <v>2.4E-2</v>
      </c>
    </row>
    <row r="58" spans="2:15" ht="14.25" customHeight="1">
      <c r="B58" s="46"/>
      <c r="C58" s="25" t="s">
        <v>881</v>
      </c>
      <c r="D58" s="78"/>
      <c r="E58" s="45"/>
      <c r="F58" s="47"/>
      <c r="H58" s="1">
        <v>55</v>
      </c>
      <c r="I58" s="2" t="s">
        <v>101</v>
      </c>
      <c r="J58" s="33" t="s">
        <v>102</v>
      </c>
      <c r="K58" s="33" t="s">
        <v>4</v>
      </c>
      <c r="L58" s="26">
        <v>1E-4</v>
      </c>
      <c r="M58" s="26">
        <v>1E-4</v>
      </c>
      <c r="N58" s="27">
        <v>1</v>
      </c>
      <c r="O58" s="34">
        <f t="shared" si="0"/>
        <v>2.0000000000000001E-4</v>
      </c>
    </row>
    <row r="59" spans="2:15" ht="14.25" customHeight="1">
      <c r="B59" s="46"/>
      <c r="C59" s="65" t="s">
        <v>983</v>
      </c>
      <c r="D59" s="28">
        <v>0</v>
      </c>
      <c r="E59" s="45"/>
      <c r="F59" s="47"/>
      <c r="H59" s="1">
        <v>56</v>
      </c>
      <c r="I59" s="2" t="s">
        <v>103</v>
      </c>
      <c r="J59" s="33" t="s">
        <v>104</v>
      </c>
      <c r="K59" s="33" t="s">
        <v>4</v>
      </c>
      <c r="L59" s="26">
        <v>1E-4</v>
      </c>
      <c r="M59" s="26">
        <v>1E-4</v>
      </c>
      <c r="N59" s="27">
        <v>10</v>
      </c>
      <c r="O59" s="34">
        <f t="shared" si="0"/>
        <v>2E-3</v>
      </c>
    </row>
    <row r="60" spans="2:15" ht="14.25" customHeight="1">
      <c r="B60" s="46"/>
      <c r="C60" s="65" t="s">
        <v>984</v>
      </c>
      <c r="D60" s="28">
        <v>0</v>
      </c>
      <c r="E60" s="45"/>
      <c r="F60" s="47"/>
      <c r="H60" s="1">
        <v>57</v>
      </c>
      <c r="I60" s="2" t="s">
        <v>105</v>
      </c>
      <c r="J60" s="33" t="s">
        <v>106</v>
      </c>
      <c r="K60" s="33" t="s">
        <v>4</v>
      </c>
      <c r="L60" s="26">
        <v>1E-4</v>
      </c>
      <c r="M60" s="26">
        <v>1E-4</v>
      </c>
      <c r="N60" s="27">
        <v>10</v>
      </c>
      <c r="O60" s="34">
        <f t="shared" si="0"/>
        <v>2E-3</v>
      </c>
    </row>
    <row r="61" spans="2:15" ht="14.25" customHeight="1">
      <c r="B61" s="46"/>
      <c r="C61" s="72"/>
      <c r="D61" s="72"/>
      <c r="E61" s="45"/>
      <c r="F61" s="47"/>
      <c r="H61" s="1">
        <v>58</v>
      </c>
      <c r="I61" s="2" t="s">
        <v>107</v>
      </c>
      <c r="J61" s="33" t="s">
        <v>108</v>
      </c>
      <c r="K61" s="33" t="s">
        <v>4</v>
      </c>
      <c r="L61" s="26">
        <v>1E-4</v>
      </c>
      <c r="M61" s="26">
        <v>2.0000000000000001E-4</v>
      </c>
      <c r="N61" s="27">
        <f>N66</f>
        <v>250</v>
      </c>
      <c r="O61" s="34">
        <f t="shared" si="0"/>
        <v>7.5000000000000011E-2</v>
      </c>
    </row>
    <row r="62" spans="2:15" ht="14.25" customHeight="1">
      <c r="B62" s="46"/>
      <c r="C62" s="25" t="s">
        <v>1271</v>
      </c>
      <c r="D62" s="72"/>
      <c r="E62" s="45"/>
      <c r="F62" s="47"/>
      <c r="H62" s="1">
        <v>59</v>
      </c>
      <c r="I62" s="2" t="s">
        <v>109</v>
      </c>
      <c r="J62" s="33" t="s">
        <v>110</v>
      </c>
      <c r="K62" s="33" t="s">
        <v>4</v>
      </c>
      <c r="L62" s="26">
        <v>1E-4</v>
      </c>
      <c r="M62" s="26">
        <v>1E-4</v>
      </c>
      <c r="N62" s="27">
        <v>10</v>
      </c>
      <c r="O62" s="34">
        <f t="shared" si="0"/>
        <v>2E-3</v>
      </c>
    </row>
    <row r="63" spans="2:15" ht="14.25" customHeight="1">
      <c r="B63" s="46"/>
      <c r="C63" s="38" t="s">
        <v>882</v>
      </c>
      <c r="D63" s="28">
        <v>0</v>
      </c>
      <c r="E63" s="45"/>
      <c r="F63" s="47"/>
      <c r="H63" s="1">
        <v>60</v>
      </c>
      <c r="I63" s="2" t="s">
        <v>111</v>
      </c>
      <c r="J63" s="33" t="s">
        <v>112</v>
      </c>
      <c r="K63" s="33" t="s">
        <v>4</v>
      </c>
      <c r="L63" s="26">
        <v>1E-4</v>
      </c>
      <c r="M63" s="26">
        <v>1E-4</v>
      </c>
      <c r="N63" s="27">
        <v>10</v>
      </c>
      <c r="O63" s="34">
        <f t="shared" si="0"/>
        <v>2E-3</v>
      </c>
    </row>
    <row r="64" spans="2:15" ht="14.25" customHeight="1">
      <c r="B64" s="46"/>
      <c r="C64" s="72"/>
      <c r="D64" s="72"/>
      <c r="E64" s="45"/>
      <c r="F64" s="47"/>
      <c r="H64" s="1">
        <v>61</v>
      </c>
      <c r="I64" s="2" t="s">
        <v>113</v>
      </c>
      <c r="J64" s="33" t="s">
        <v>114</v>
      </c>
      <c r="K64" s="33" t="s">
        <v>4</v>
      </c>
      <c r="L64" s="26">
        <v>1E-4</v>
      </c>
      <c r="M64" s="26">
        <v>1E-4</v>
      </c>
      <c r="N64" s="27">
        <v>5</v>
      </c>
      <c r="O64" s="34">
        <f t="shared" si="0"/>
        <v>1E-3</v>
      </c>
    </row>
    <row r="65" spans="2:15" ht="14.25" customHeight="1">
      <c r="B65" s="46"/>
      <c r="C65" s="25" t="s">
        <v>1272</v>
      </c>
      <c r="D65" s="72"/>
      <c r="E65" s="45"/>
      <c r="F65" s="47"/>
      <c r="H65" s="1">
        <v>62</v>
      </c>
      <c r="I65" s="2" t="s">
        <v>115</v>
      </c>
      <c r="J65" s="33" t="s">
        <v>116</v>
      </c>
      <c r="K65" s="33" t="s">
        <v>4</v>
      </c>
      <c r="L65" s="26">
        <v>1E-4</v>
      </c>
      <c r="M65" s="26">
        <v>1E-4</v>
      </c>
      <c r="N65" s="27">
        <v>5</v>
      </c>
      <c r="O65" s="34">
        <f t="shared" si="0"/>
        <v>1E-3</v>
      </c>
    </row>
    <row r="66" spans="2:15" ht="14.25" customHeight="1">
      <c r="B66" s="46"/>
      <c r="C66" s="38" t="s">
        <v>882</v>
      </c>
      <c r="D66" s="28">
        <v>0</v>
      </c>
      <c r="E66" s="45"/>
      <c r="F66" s="47"/>
      <c r="H66" s="1">
        <v>63</v>
      </c>
      <c r="I66" s="2" t="s">
        <v>117</v>
      </c>
      <c r="J66" s="33" t="s">
        <v>118</v>
      </c>
      <c r="K66" s="33" t="s">
        <v>4</v>
      </c>
      <c r="L66" s="26">
        <v>1E-4</v>
      </c>
      <c r="M66" s="26">
        <v>1E-4</v>
      </c>
      <c r="N66" s="27">
        <f>D10*5</f>
        <v>250</v>
      </c>
      <c r="O66" s="34">
        <f t="shared" si="0"/>
        <v>0.05</v>
      </c>
    </row>
    <row r="67" spans="2:15" ht="14.25" customHeight="1">
      <c r="B67" s="46"/>
      <c r="C67" s="72"/>
      <c r="D67" s="72"/>
      <c r="E67" s="45"/>
      <c r="F67" s="47"/>
      <c r="H67" s="1">
        <v>64</v>
      </c>
      <c r="I67" s="2" t="s">
        <v>119</v>
      </c>
      <c r="J67" s="33" t="s">
        <v>120</v>
      </c>
      <c r="K67" s="33" t="s">
        <v>4</v>
      </c>
      <c r="L67" s="26">
        <v>1E-4</v>
      </c>
      <c r="M67" s="26">
        <v>2.0000000000000001E-4</v>
      </c>
      <c r="N67" s="27">
        <f>N66</f>
        <v>250</v>
      </c>
      <c r="O67" s="34">
        <f t="shared" si="0"/>
        <v>7.5000000000000011E-2</v>
      </c>
    </row>
    <row r="68" spans="2:15" ht="14.25" customHeight="1">
      <c r="B68" s="46"/>
      <c r="C68" s="25" t="s">
        <v>1273</v>
      </c>
      <c r="D68" s="72"/>
      <c r="E68" s="45"/>
      <c r="F68" s="47"/>
      <c r="H68" s="1">
        <v>65</v>
      </c>
      <c r="I68" s="2" t="s">
        <v>121</v>
      </c>
      <c r="J68" s="33" t="s">
        <v>122</v>
      </c>
      <c r="K68" s="33" t="s">
        <v>4</v>
      </c>
      <c r="L68" s="26">
        <v>1E-4</v>
      </c>
      <c r="M68" s="26">
        <v>1E-4</v>
      </c>
      <c r="N68" s="27">
        <v>1</v>
      </c>
      <c r="O68" s="34">
        <f t="shared" si="0"/>
        <v>2.0000000000000001E-4</v>
      </c>
    </row>
    <row r="69" spans="2:15" ht="14.25" customHeight="1">
      <c r="B69" s="46"/>
      <c r="C69" s="38" t="s">
        <v>882</v>
      </c>
      <c r="D69" s="28">
        <v>0</v>
      </c>
      <c r="E69" s="45"/>
      <c r="F69" s="47"/>
      <c r="H69" s="1">
        <v>66</v>
      </c>
      <c r="I69" s="2" t="s">
        <v>123</v>
      </c>
      <c r="J69" s="33" t="s">
        <v>124</v>
      </c>
      <c r="K69" s="33" t="s">
        <v>9</v>
      </c>
      <c r="L69" s="26">
        <v>1E-4</v>
      </c>
      <c r="M69" s="26">
        <v>1E-4</v>
      </c>
      <c r="N69" s="27">
        <v>1</v>
      </c>
      <c r="O69" s="34">
        <f t="shared" ref="O69:O132" si="1">(L69+M69)*N69</f>
        <v>2.0000000000000001E-4</v>
      </c>
    </row>
    <row r="70" spans="2:15" ht="14.25" customHeight="1">
      <c r="B70" s="46"/>
      <c r="C70" s="72"/>
      <c r="D70" s="72"/>
      <c r="E70" s="45"/>
      <c r="F70" s="47"/>
      <c r="H70" s="1">
        <v>67</v>
      </c>
      <c r="I70" s="2" t="s">
        <v>125</v>
      </c>
      <c r="J70" s="33" t="s">
        <v>126</v>
      </c>
      <c r="K70" s="33" t="s">
        <v>9</v>
      </c>
      <c r="L70" s="26">
        <v>1E-4</v>
      </c>
      <c r="M70" s="26">
        <v>1E-4</v>
      </c>
      <c r="N70" s="27">
        <f>N69</f>
        <v>1</v>
      </c>
      <c r="O70" s="34">
        <f t="shared" si="1"/>
        <v>2.0000000000000001E-4</v>
      </c>
    </row>
    <row r="71" spans="2:15" ht="14.25" customHeight="1">
      <c r="B71" s="80"/>
      <c r="C71" s="25" t="s">
        <v>1277</v>
      </c>
      <c r="D71" s="81"/>
      <c r="E71" s="81"/>
      <c r="F71" s="82"/>
      <c r="H71" s="1">
        <v>68</v>
      </c>
      <c r="I71" s="2" t="s">
        <v>127</v>
      </c>
      <c r="J71" s="33" t="s">
        <v>128</v>
      </c>
      <c r="K71" s="33" t="s">
        <v>4</v>
      </c>
      <c r="L71" s="26">
        <v>1E-4</v>
      </c>
      <c r="M71" s="26">
        <v>2.0000000000000001E-4</v>
      </c>
      <c r="N71" s="27">
        <v>30</v>
      </c>
      <c r="O71" s="34">
        <f t="shared" si="1"/>
        <v>9.0000000000000011E-3</v>
      </c>
    </row>
    <row r="72" spans="2:15" ht="14.25" customHeight="1">
      <c r="B72" s="46"/>
      <c r="C72" s="38" t="s">
        <v>882</v>
      </c>
      <c r="D72" s="28">
        <v>0</v>
      </c>
      <c r="E72" s="45"/>
      <c r="F72" s="47"/>
      <c r="H72" s="1">
        <v>69</v>
      </c>
      <c r="I72" s="2" t="s">
        <v>129</v>
      </c>
      <c r="J72" s="33" t="s">
        <v>130</v>
      </c>
      <c r="K72" s="33" t="s">
        <v>4</v>
      </c>
      <c r="L72" s="26">
        <v>1E-4</v>
      </c>
      <c r="M72" s="26">
        <v>1E-4</v>
      </c>
      <c r="N72" s="27">
        <f>D12</f>
        <v>30</v>
      </c>
      <c r="O72" s="34">
        <f t="shared" si="1"/>
        <v>6.0000000000000001E-3</v>
      </c>
    </row>
    <row r="73" spans="2:15" ht="14.25" customHeight="1">
      <c r="B73" s="46"/>
      <c r="C73" s="72"/>
      <c r="D73" s="72"/>
      <c r="E73" s="45"/>
      <c r="F73" s="47"/>
      <c r="H73" s="1">
        <v>70</v>
      </c>
      <c r="I73" s="2" t="s">
        <v>131</v>
      </c>
      <c r="J73" s="33" t="s">
        <v>132</v>
      </c>
      <c r="K73" s="33" t="s">
        <v>4</v>
      </c>
      <c r="L73" s="26">
        <v>1E-4</v>
      </c>
      <c r="M73" s="26">
        <v>1E-4</v>
      </c>
      <c r="N73" s="27">
        <f>D12</f>
        <v>30</v>
      </c>
      <c r="O73" s="34">
        <f t="shared" si="1"/>
        <v>6.0000000000000001E-3</v>
      </c>
    </row>
    <row r="74" spans="2:15" ht="14.25" customHeight="1">
      <c r="B74" s="46"/>
      <c r="C74" s="25" t="s">
        <v>1274</v>
      </c>
      <c r="D74" s="72"/>
      <c r="E74" s="45"/>
      <c r="F74" s="47"/>
      <c r="H74" s="1">
        <v>71</v>
      </c>
      <c r="I74" s="2" t="s">
        <v>133</v>
      </c>
      <c r="J74" s="33" t="s">
        <v>134</v>
      </c>
      <c r="K74" s="33" t="s">
        <v>4</v>
      </c>
      <c r="L74" s="26">
        <v>1E-4</v>
      </c>
      <c r="M74" s="26">
        <v>1E-4</v>
      </c>
      <c r="N74" s="27">
        <f>D13</f>
        <v>10</v>
      </c>
      <c r="O74" s="34">
        <f t="shared" si="1"/>
        <v>2E-3</v>
      </c>
    </row>
    <row r="75" spans="2:15" ht="14.25" customHeight="1">
      <c r="B75" s="46"/>
      <c r="C75" s="38" t="s">
        <v>882</v>
      </c>
      <c r="D75" s="28">
        <v>0</v>
      </c>
      <c r="E75" s="45"/>
      <c r="F75" s="47"/>
      <c r="H75" s="1">
        <v>72</v>
      </c>
      <c r="I75" s="2" t="s">
        <v>135</v>
      </c>
      <c r="J75" s="33" t="s">
        <v>136</v>
      </c>
      <c r="K75" s="33" t="s">
        <v>4</v>
      </c>
      <c r="L75" s="26">
        <v>1E-4</v>
      </c>
      <c r="M75" s="26">
        <v>1E-4</v>
      </c>
      <c r="N75" s="27">
        <f>D13</f>
        <v>10</v>
      </c>
      <c r="O75" s="34">
        <f t="shared" si="1"/>
        <v>2E-3</v>
      </c>
    </row>
    <row r="76" spans="2:15" ht="14.25" customHeight="1">
      <c r="B76" s="46"/>
      <c r="C76" s="72"/>
      <c r="D76" s="72"/>
      <c r="E76" s="45"/>
      <c r="F76" s="47"/>
      <c r="H76" s="1">
        <v>73</v>
      </c>
      <c r="I76" s="2" t="s">
        <v>137</v>
      </c>
      <c r="J76" s="33" t="s">
        <v>138</v>
      </c>
      <c r="K76" s="33" t="s">
        <v>4</v>
      </c>
      <c r="L76" s="26">
        <v>1E-4</v>
      </c>
      <c r="M76" s="26">
        <v>1E-4</v>
      </c>
      <c r="N76" s="27">
        <f>D14</f>
        <v>0</v>
      </c>
      <c r="O76" s="34">
        <f t="shared" si="1"/>
        <v>0</v>
      </c>
    </row>
    <row r="77" spans="2:15" ht="14.25" customHeight="1">
      <c r="B77" s="46"/>
      <c r="C77" s="25" t="s">
        <v>1275</v>
      </c>
      <c r="D77" s="72"/>
      <c r="E77" s="45"/>
      <c r="F77" s="47"/>
      <c r="H77" s="1">
        <v>74</v>
      </c>
      <c r="I77" s="2" t="s">
        <v>139</v>
      </c>
      <c r="J77" s="33" t="s">
        <v>140</v>
      </c>
      <c r="K77" s="33" t="s">
        <v>4</v>
      </c>
      <c r="L77" s="26">
        <v>1E-4</v>
      </c>
      <c r="M77" s="26">
        <v>1E-4</v>
      </c>
      <c r="N77" s="27">
        <f>D14</f>
        <v>0</v>
      </c>
      <c r="O77" s="34">
        <f t="shared" si="1"/>
        <v>0</v>
      </c>
    </row>
    <row r="78" spans="2:15" ht="14.25" customHeight="1">
      <c r="B78" s="46"/>
      <c r="C78" s="38" t="s">
        <v>882</v>
      </c>
      <c r="D78" s="28">
        <v>0</v>
      </c>
      <c r="E78" s="45"/>
      <c r="F78" s="47"/>
      <c r="H78" s="1">
        <v>75</v>
      </c>
      <c r="I78" s="2" t="s">
        <v>141</v>
      </c>
      <c r="J78" s="33" t="s">
        <v>142</v>
      </c>
      <c r="K78" s="33" t="s">
        <v>4</v>
      </c>
      <c r="L78" s="26">
        <v>1E-4</v>
      </c>
      <c r="M78" s="26">
        <v>1E-4</v>
      </c>
      <c r="N78" s="27">
        <f>D15</f>
        <v>0</v>
      </c>
      <c r="O78" s="34">
        <f t="shared" si="1"/>
        <v>0</v>
      </c>
    </row>
    <row r="79" spans="2:15" ht="14.25" customHeight="1">
      <c r="B79" s="46"/>
      <c r="C79" s="72"/>
      <c r="D79" s="72"/>
      <c r="E79" s="45"/>
      <c r="F79" s="47"/>
      <c r="H79" s="1">
        <v>76</v>
      </c>
      <c r="I79" s="2" t="s">
        <v>143</v>
      </c>
      <c r="J79" s="33" t="s">
        <v>144</v>
      </c>
      <c r="K79" s="33" t="s">
        <v>4</v>
      </c>
      <c r="L79" s="26">
        <v>1E-4</v>
      </c>
      <c r="M79" s="26">
        <v>1E-4</v>
      </c>
      <c r="N79" s="27">
        <f>D15</f>
        <v>0</v>
      </c>
      <c r="O79" s="34">
        <f t="shared" si="1"/>
        <v>0</v>
      </c>
    </row>
    <row r="80" spans="2:15" ht="14.25" customHeight="1">
      <c r="B80" s="63"/>
      <c r="C80" s="25" t="s">
        <v>1276</v>
      </c>
      <c r="D80" s="72"/>
      <c r="E80" s="62"/>
      <c r="F80" s="64"/>
      <c r="H80" s="1">
        <v>77</v>
      </c>
      <c r="I80" s="2" t="s">
        <v>145</v>
      </c>
      <c r="J80" s="33" t="s">
        <v>146</v>
      </c>
      <c r="K80" s="33" t="s">
        <v>9</v>
      </c>
      <c r="L80" s="26">
        <v>1E-4</v>
      </c>
      <c r="M80" s="26">
        <v>1E-4</v>
      </c>
      <c r="N80" s="27">
        <v>140</v>
      </c>
      <c r="O80" s="34">
        <f t="shared" si="1"/>
        <v>2.8000000000000001E-2</v>
      </c>
    </row>
    <row r="81" spans="2:15" ht="14.25" customHeight="1">
      <c r="B81" s="63"/>
      <c r="C81" s="38" t="s">
        <v>882</v>
      </c>
      <c r="D81" s="28">
        <v>0</v>
      </c>
      <c r="E81" s="62"/>
      <c r="F81" s="64"/>
      <c r="H81" s="1">
        <v>78</v>
      </c>
      <c r="I81" s="2" t="s">
        <v>147</v>
      </c>
      <c r="J81" s="33" t="s">
        <v>148</v>
      </c>
      <c r="K81" s="33" t="s">
        <v>9</v>
      </c>
      <c r="L81" s="26">
        <v>1E-4</v>
      </c>
      <c r="M81" s="26">
        <v>1E-4</v>
      </c>
      <c r="N81" s="27">
        <v>400</v>
      </c>
      <c r="O81" s="34">
        <f t="shared" si="1"/>
        <v>0.08</v>
      </c>
    </row>
    <row r="82" spans="2:15" ht="14.25" customHeight="1" thickBot="1">
      <c r="B82" s="48"/>
      <c r="C82" s="49"/>
      <c r="D82" s="49"/>
      <c r="E82" s="49"/>
      <c r="F82" s="50"/>
      <c r="H82" s="1">
        <v>79</v>
      </c>
      <c r="I82" s="2" t="s">
        <v>149</v>
      </c>
      <c r="J82" s="33" t="s">
        <v>150</v>
      </c>
      <c r="K82" s="33" t="s">
        <v>9</v>
      </c>
      <c r="L82" s="26">
        <v>1E-4</v>
      </c>
      <c r="M82" s="26">
        <v>1E-4</v>
      </c>
      <c r="N82" s="27">
        <v>400</v>
      </c>
      <c r="O82" s="34">
        <f t="shared" si="1"/>
        <v>0.08</v>
      </c>
    </row>
    <row r="83" spans="2:15" ht="14.25" customHeight="1">
      <c r="H83" s="1">
        <v>80</v>
      </c>
      <c r="I83" s="2" t="s">
        <v>151</v>
      </c>
      <c r="J83" s="33" t="s">
        <v>152</v>
      </c>
      <c r="K83" s="33" t="s">
        <v>9</v>
      </c>
      <c r="L83" s="26">
        <v>1E-4</v>
      </c>
      <c r="M83" s="26">
        <v>1E-4</v>
      </c>
      <c r="N83" s="27">
        <v>2000</v>
      </c>
      <c r="O83" s="34">
        <f t="shared" si="1"/>
        <v>0.4</v>
      </c>
    </row>
    <row r="84" spans="2:15" ht="14.25" customHeight="1">
      <c r="C84" s="40" t="s">
        <v>401</v>
      </c>
      <c r="D84" s="17"/>
      <c r="H84" s="1">
        <v>81</v>
      </c>
      <c r="I84" s="2" t="s">
        <v>437</v>
      </c>
      <c r="J84" s="33" t="s">
        <v>153</v>
      </c>
      <c r="K84" s="33" t="s">
        <v>9</v>
      </c>
      <c r="L84" s="26">
        <v>1E-4</v>
      </c>
      <c r="M84" s="26">
        <v>2.9999999999999997E-4</v>
      </c>
      <c r="N84" s="27">
        <f>D19*12*30*10</f>
        <v>36000</v>
      </c>
      <c r="O84" s="34">
        <f t="shared" si="1"/>
        <v>14.399999999999999</v>
      </c>
    </row>
    <row r="85" spans="2:15" ht="14.25" customHeight="1">
      <c r="C85" s="18" t="s">
        <v>387</v>
      </c>
      <c r="D85" s="19"/>
      <c r="H85" s="1">
        <v>82</v>
      </c>
      <c r="I85" s="2" t="s">
        <v>154</v>
      </c>
      <c r="J85" s="33" t="s">
        <v>155</v>
      </c>
      <c r="K85" s="33" t="s">
        <v>9</v>
      </c>
      <c r="L85" s="26">
        <v>1E-4</v>
      </c>
      <c r="M85" s="26">
        <v>2.9999999999999997E-4</v>
      </c>
      <c r="N85" s="27">
        <f>N84*2</f>
        <v>72000</v>
      </c>
      <c r="O85" s="34">
        <f t="shared" si="1"/>
        <v>28.799999999999997</v>
      </c>
    </row>
    <row r="86" spans="2:15" ht="14.25" customHeight="1">
      <c r="D86" s="19"/>
      <c r="H86" s="1">
        <v>83</v>
      </c>
      <c r="I86" s="2" t="s">
        <v>156</v>
      </c>
      <c r="J86" s="33" t="s">
        <v>157</v>
      </c>
      <c r="K86" s="33" t="s">
        <v>9</v>
      </c>
      <c r="L86" s="26">
        <v>1E-4</v>
      </c>
      <c r="M86" s="26">
        <v>1E-4</v>
      </c>
      <c r="N86" s="27">
        <v>400</v>
      </c>
      <c r="O86" s="34">
        <f t="shared" si="1"/>
        <v>0.08</v>
      </c>
    </row>
    <row r="87" spans="2:15" ht="14.25" customHeight="1">
      <c r="D87" s="17"/>
      <c r="H87" s="1">
        <v>84</v>
      </c>
      <c r="I87" s="2" t="s">
        <v>158</v>
      </c>
      <c r="J87" s="33" t="s">
        <v>159</v>
      </c>
      <c r="K87" s="33" t="s">
        <v>9</v>
      </c>
      <c r="L87" s="26">
        <v>1E-4</v>
      </c>
      <c r="M87" s="26">
        <v>2.0000000000000001E-4</v>
      </c>
      <c r="N87" s="27">
        <v>10</v>
      </c>
      <c r="O87" s="34">
        <f t="shared" si="1"/>
        <v>3.0000000000000001E-3</v>
      </c>
    </row>
    <row r="88" spans="2:15" ht="14.25" customHeight="1">
      <c r="C88" s="18" t="s">
        <v>611</v>
      </c>
      <c r="H88" s="1">
        <v>85</v>
      </c>
      <c r="I88" s="2" t="s">
        <v>160</v>
      </c>
      <c r="J88" s="33" t="s">
        <v>161</v>
      </c>
      <c r="K88" s="33" t="s">
        <v>9</v>
      </c>
      <c r="L88" s="26">
        <v>1E-4</v>
      </c>
      <c r="M88" s="26">
        <v>2.0000000000000001E-4</v>
      </c>
      <c r="N88" s="27">
        <f>12*D19</f>
        <v>120</v>
      </c>
      <c r="O88" s="34">
        <f t="shared" si="1"/>
        <v>3.6000000000000004E-2</v>
      </c>
    </row>
    <row r="89" spans="2:15" ht="14.25" customHeight="1">
      <c r="C89" s="18" t="s">
        <v>612</v>
      </c>
      <c r="H89" s="1">
        <v>86</v>
      </c>
      <c r="I89" s="2" t="s">
        <v>162</v>
      </c>
      <c r="J89" s="33" t="s">
        <v>163</v>
      </c>
      <c r="K89" s="33" t="s">
        <v>4</v>
      </c>
      <c r="L89" s="26">
        <v>1E-4</v>
      </c>
      <c r="M89" s="26">
        <v>1E-4</v>
      </c>
      <c r="N89" s="27">
        <v>20</v>
      </c>
      <c r="O89" s="34">
        <f t="shared" si="1"/>
        <v>4.0000000000000001E-3</v>
      </c>
    </row>
    <row r="90" spans="2:15" ht="14.25" customHeight="1">
      <c r="C90" s="18" t="s">
        <v>613</v>
      </c>
      <c r="H90" s="1">
        <v>87</v>
      </c>
      <c r="I90" s="2" t="s">
        <v>164</v>
      </c>
      <c r="J90" s="33" t="s">
        <v>165</v>
      </c>
      <c r="K90" s="33" t="s">
        <v>9</v>
      </c>
      <c r="L90" s="26">
        <v>1E-4</v>
      </c>
      <c r="M90" s="26">
        <v>2.0000000000000001E-4</v>
      </c>
      <c r="N90" s="27">
        <v>50</v>
      </c>
      <c r="O90" s="34">
        <f t="shared" si="1"/>
        <v>1.5000000000000001E-2</v>
      </c>
    </row>
    <row r="91" spans="2:15" ht="14.25" customHeight="1">
      <c r="C91" s="18"/>
      <c r="H91" s="1">
        <v>88</v>
      </c>
      <c r="I91" s="2" t="s">
        <v>166</v>
      </c>
      <c r="J91" s="33" t="s">
        <v>167</v>
      </c>
      <c r="K91" s="33" t="s">
        <v>4</v>
      </c>
      <c r="L91" s="26">
        <v>1E-4</v>
      </c>
      <c r="M91" s="26">
        <v>1E-4</v>
      </c>
      <c r="N91" s="27">
        <v>20</v>
      </c>
      <c r="O91" s="34">
        <f t="shared" si="1"/>
        <v>4.0000000000000001E-3</v>
      </c>
    </row>
    <row r="92" spans="2:15" ht="14.25" customHeight="1">
      <c r="C92" s="18"/>
      <c r="H92" s="1">
        <v>89</v>
      </c>
      <c r="I92" s="2" t="s">
        <v>168</v>
      </c>
      <c r="J92" s="33" t="s">
        <v>169</v>
      </c>
      <c r="K92" s="33" t="s">
        <v>4</v>
      </c>
      <c r="L92" s="26">
        <v>1E-4</v>
      </c>
      <c r="M92" s="26">
        <v>1E-4</v>
      </c>
      <c r="N92" s="27">
        <v>0</v>
      </c>
      <c r="O92" s="34">
        <f t="shared" si="1"/>
        <v>0</v>
      </c>
    </row>
    <row r="93" spans="2:15" ht="14.25" customHeight="1">
      <c r="C93" s="18" t="s">
        <v>433</v>
      </c>
      <c r="H93" s="1">
        <v>90</v>
      </c>
      <c r="I93" s="2" t="s">
        <v>170</v>
      </c>
      <c r="J93" s="33" t="s">
        <v>171</v>
      </c>
      <c r="K93" s="33" t="s">
        <v>4</v>
      </c>
      <c r="L93" s="26">
        <v>1E-4</v>
      </c>
      <c r="M93" s="26">
        <v>1E-4</v>
      </c>
      <c r="N93" s="27">
        <v>0</v>
      </c>
      <c r="O93" s="34">
        <f t="shared" si="1"/>
        <v>0</v>
      </c>
    </row>
    <row r="94" spans="2:15" ht="14.25" customHeight="1">
      <c r="C94" s="18" t="s">
        <v>434</v>
      </c>
      <c r="H94" s="1">
        <v>91</v>
      </c>
      <c r="I94" s="2" t="s">
        <v>172</v>
      </c>
      <c r="J94" s="33" t="s">
        <v>173</v>
      </c>
      <c r="K94" s="33" t="s">
        <v>9</v>
      </c>
      <c r="L94" s="26">
        <v>1E-4</v>
      </c>
      <c r="M94" s="26">
        <v>2.0000000000000001E-4</v>
      </c>
      <c r="N94" s="27">
        <v>23000</v>
      </c>
      <c r="O94" s="34">
        <f t="shared" si="1"/>
        <v>6.9</v>
      </c>
    </row>
    <row r="95" spans="2:15" ht="14.25" customHeight="1">
      <c r="C95" s="18" t="s">
        <v>435</v>
      </c>
      <c r="H95" s="1">
        <v>92</v>
      </c>
      <c r="I95" s="2" t="s">
        <v>174</v>
      </c>
      <c r="J95" s="33" t="s">
        <v>175</v>
      </c>
      <c r="K95" s="33" t="s">
        <v>9</v>
      </c>
      <c r="L95" s="26">
        <v>1E-4</v>
      </c>
      <c r="M95" s="26">
        <v>2.0000000000000001E-4</v>
      </c>
      <c r="N95" s="27">
        <v>500</v>
      </c>
      <c r="O95" s="34">
        <f t="shared" si="1"/>
        <v>0.15000000000000002</v>
      </c>
    </row>
    <row r="96" spans="2:15" ht="14.25" customHeight="1">
      <c r="H96" s="1">
        <v>93</v>
      </c>
      <c r="I96" s="2" t="s">
        <v>176</v>
      </c>
      <c r="J96" s="33" t="s">
        <v>177</v>
      </c>
      <c r="K96" s="33" t="s">
        <v>9</v>
      </c>
      <c r="L96" s="26">
        <v>1E-4</v>
      </c>
      <c r="M96" s="26">
        <v>2.0000000000000001E-4</v>
      </c>
      <c r="N96" s="27">
        <v>20</v>
      </c>
      <c r="O96" s="34">
        <f t="shared" si="1"/>
        <v>6.0000000000000001E-3</v>
      </c>
    </row>
    <row r="97" spans="8:15" ht="14.25" customHeight="1">
      <c r="H97" s="55">
        <v>94</v>
      </c>
      <c r="I97" s="56" t="s">
        <v>178</v>
      </c>
      <c r="J97" s="57" t="s">
        <v>179</v>
      </c>
      <c r="K97" s="57" t="s">
        <v>9</v>
      </c>
      <c r="L97" s="58">
        <v>1E-4</v>
      </c>
      <c r="M97" s="58">
        <v>2.0000000000000001E-4</v>
      </c>
      <c r="N97" s="60">
        <v>0</v>
      </c>
      <c r="O97" s="59">
        <f t="shared" si="1"/>
        <v>0</v>
      </c>
    </row>
    <row r="98" spans="8:15" ht="14.25" customHeight="1">
      <c r="H98" s="1">
        <v>95</v>
      </c>
      <c r="I98" s="2" t="s">
        <v>180</v>
      </c>
      <c r="J98" s="33" t="s">
        <v>181</v>
      </c>
      <c r="K98" s="33" t="s">
        <v>4</v>
      </c>
      <c r="L98" s="26">
        <v>1E-4</v>
      </c>
      <c r="M98" s="26">
        <v>1E-4</v>
      </c>
      <c r="N98" s="27">
        <v>1</v>
      </c>
      <c r="O98" s="34">
        <f t="shared" si="1"/>
        <v>2.0000000000000001E-4</v>
      </c>
    </row>
    <row r="99" spans="8:15" ht="14.25" customHeight="1">
      <c r="H99" s="1">
        <v>96</v>
      </c>
      <c r="I99" s="2" t="s">
        <v>182</v>
      </c>
      <c r="J99" s="33" t="s">
        <v>183</v>
      </c>
      <c r="K99" s="33" t="s">
        <v>9</v>
      </c>
      <c r="L99" s="26">
        <v>1E-4</v>
      </c>
      <c r="M99" s="26">
        <v>1E-4</v>
      </c>
      <c r="N99" s="27">
        <v>5</v>
      </c>
      <c r="O99" s="34">
        <f t="shared" si="1"/>
        <v>1E-3</v>
      </c>
    </row>
    <row r="100" spans="8:15" ht="14.25" customHeight="1">
      <c r="H100" s="1">
        <v>97</v>
      </c>
      <c r="I100" s="2" t="s">
        <v>184</v>
      </c>
      <c r="J100" s="33" t="s">
        <v>185</v>
      </c>
      <c r="K100" s="33" t="s">
        <v>4</v>
      </c>
      <c r="L100" s="26">
        <v>1E-4</v>
      </c>
      <c r="M100" s="26">
        <v>2.0000000000000001E-4</v>
      </c>
      <c r="N100" s="27">
        <v>10</v>
      </c>
      <c r="O100" s="34">
        <f t="shared" si="1"/>
        <v>3.0000000000000001E-3</v>
      </c>
    </row>
    <row r="101" spans="8:15" ht="14.25" customHeight="1">
      <c r="H101" s="1">
        <v>98</v>
      </c>
      <c r="I101" s="2" t="s">
        <v>1145</v>
      </c>
      <c r="J101" s="33" t="s">
        <v>186</v>
      </c>
      <c r="K101" s="33" t="s">
        <v>4</v>
      </c>
      <c r="L101" s="26">
        <v>1E-4</v>
      </c>
      <c r="M101" s="26">
        <v>2.0000000000000001E-4</v>
      </c>
      <c r="N101" s="27">
        <v>30</v>
      </c>
      <c r="O101" s="34">
        <f t="shared" si="1"/>
        <v>9.0000000000000011E-3</v>
      </c>
    </row>
    <row r="102" spans="8:15" ht="14.25" customHeight="1">
      <c r="H102" s="1">
        <v>99</v>
      </c>
      <c r="I102" s="2" t="s">
        <v>438</v>
      </c>
      <c r="J102" s="33" t="s">
        <v>187</v>
      </c>
      <c r="K102" s="33" t="s">
        <v>4</v>
      </c>
      <c r="L102" s="26">
        <v>1E-4</v>
      </c>
      <c r="M102" s="26">
        <v>2.0000000000000001E-4</v>
      </c>
      <c r="N102" s="27">
        <v>30</v>
      </c>
      <c r="O102" s="34">
        <f t="shared" si="1"/>
        <v>9.0000000000000011E-3</v>
      </c>
    </row>
    <row r="103" spans="8:15" ht="14.25" customHeight="1">
      <c r="H103" s="1">
        <v>100</v>
      </c>
      <c r="I103" s="2" t="s">
        <v>188</v>
      </c>
      <c r="J103" s="33" t="s">
        <v>189</v>
      </c>
      <c r="K103" s="33" t="s">
        <v>4</v>
      </c>
      <c r="L103" s="26">
        <v>1E-4</v>
      </c>
      <c r="M103" s="26">
        <v>2.0000000000000001E-4</v>
      </c>
      <c r="N103" s="27">
        <f>N101*D48</f>
        <v>90</v>
      </c>
      <c r="O103" s="34">
        <f t="shared" si="1"/>
        <v>2.7000000000000003E-2</v>
      </c>
    </row>
    <row r="104" spans="8:15" ht="14.25" customHeight="1">
      <c r="H104" s="1">
        <v>101</v>
      </c>
      <c r="I104" s="2" t="s">
        <v>601</v>
      </c>
      <c r="J104" s="33" t="s">
        <v>190</v>
      </c>
      <c r="K104" s="33" t="s">
        <v>4</v>
      </c>
      <c r="L104" s="26">
        <v>1E-4</v>
      </c>
      <c r="M104" s="26">
        <v>2.0000000000000001E-4</v>
      </c>
      <c r="N104" s="27">
        <f>IF(D51=0,D47*12*D19,D47*12*D19*0.05)</f>
        <v>1200000</v>
      </c>
      <c r="O104" s="34">
        <f t="shared" si="1"/>
        <v>360.00000000000006</v>
      </c>
    </row>
    <row r="105" spans="8:15" ht="14.25" customHeight="1">
      <c r="H105" s="1">
        <v>102</v>
      </c>
      <c r="I105" s="2" t="s">
        <v>191</v>
      </c>
      <c r="J105" s="33" t="s">
        <v>192</v>
      </c>
      <c r="K105" s="33" t="s">
        <v>4</v>
      </c>
      <c r="L105" s="26">
        <v>1E-4</v>
      </c>
      <c r="M105" s="26">
        <v>2.9999999999999997E-4</v>
      </c>
      <c r="N105" s="27">
        <f>N104</f>
        <v>1200000</v>
      </c>
      <c r="O105" s="34">
        <f t="shared" si="1"/>
        <v>479.99999999999994</v>
      </c>
    </row>
    <row r="106" spans="8:15" ht="14.25" customHeight="1">
      <c r="H106" s="1">
        <v>103</v>
      </c>
      <c r="I106" s="2" t="s">
        <v>586</v>
      </c>
      <c r="J106" s="33" t="s">
        <v>193</v>
      </c>
      <c r="K106" s="33" t="s">
        <v>4</v>
      </c>
      <c r="L106" s="26">
        <v>1E-4</v>
      </c>
      <c r="M106" s="26">
        <v>2.9999999999999997E-4</v>
      </c>
      <c r="N106" s="27">
        <f>IF(D51=0,N104*D48,N104)</f>
        <v>3600000</v>
      </c>
      <c r="O106" s="34">
        <f t="shared" si="1"/>
        <v>1439.9999999999998</v>
      </c>
    </row>
    <row r="107" spans="8:15" ht="14.25" customHeight="1">
      <c r="H107" s="1">
        <v>104</v>
      </c>
      <c r="I107" s="2" t="s">
        <v>194</v>
      </c>
      <c r="J107" s="33" t="s">
        <v>195</v>
      </c>
      <c r="K107" s="33" t="s">
        <v>4</v>
      </c>
      <c r="L107" s="26">
        <v>1E-4</v>
      </c>
      <c r="M107" s="26">
        <v>2.0000000000000001E-4</v>
      </c>
      <c r="N107" s="27">
        <v>10</v>
      </c>
      <c r="O107" s="34">
        <f t="shared" si="1"/>
        <v>3.0000000000000001E-3</v>
      </c>
    </row>
    <row r="108" spans="8:15" ht="14.25" customHeight="1">
      <c r="H108" s="1">
        <v>105</v>
      </c>
      <c r="I108" s="2" t="s">
        <v>196</v>
      </c>
      <c r="J108" s="33" t="s">
        <v>197</v>
      </c>
      <c r="K108" s="33" t="s">
        <v>4</v>
      </c>
      <c r="L108" s="26">
        <v>1E-4</v>
      </c>
      <c r="M108" s="26">
        <v>4.0000000000000002E-4</v>
      </c>
      <c r="N108" s="27">
        <v>30</v>
      </c>
      <c r="O108" s="34">
        <f t="shared" si="1"/>
        <v>1.4999999999999999E-2</v>
      </c>
    </row>
    <row r="109" spans="8:15" ht="14.25" customHeight="1">
      <c r="H109" s="1">
        <v>106</v>
      </c>
      <c r="I109" s="2" t="s">
        <v>439</v>
      </c>
      <c r="J109" s="33" t="s">
        <v>1307</v>
      </c>
      <c r="K109" s="33" t="s">
        <v>4</v>
      </c>
      <c r="L109" s="26">
        <v>1E-4</v>
      </c>
      <c r="M109" s="26">
        <v>5.0000000000000001E-4</v>
      </c>
      <c r="N109" s="27">
        <v>30</v>
      </c>
      <c r="O109" s="34">
        <f t="shared" si="1"/>
        <v>1.8000000000000002E-2</v>
      </c>
    </row>
    <row r="110" spans="8:15" ht="14.25" customHeight="1">
      <c r="H110" s="1">
        <v>107</v>
      </c>
      <c r="I110" s="2" t="s">
        <v>198</v>
      </c>
      <c r="J110" s="33" t="s">
        <v>199</v>
      </c>
      <c r="K110" s="33" t="s">
        <v>4</v>
      </c>
      <c r="L110" s="26">
        <v>1E-4</v>
      </c>
      <c r="M110" s="26">
        <v>2.9999999999999997E-4</v>
      </c>
      <c r="N110" s="27">
        <f>N108*D35</f>
        <v>150</v>
      </c>
      <c r="O110" s="34">
        <f t="shared" si="1"/>
        <v>0.06</v>
      </c>
    </row>
    <row r="111" spans="8:15" ht="14.25" customHeight="1">
      <c r="H111" s="1">
        <v>108</v>
      </c>
      <c r="I111" s="2" t="s">
        <v>393</v>
      </c>
      <c r="J111" s="33" t="s">
        <v>200</v>
      </c>
      <c r="K111" s="33" t="s">
        <v>4</v>
      </c>
      <c r="L111" s="26">
        <v>1E-4</v>
      </c>
      <c r="M111" s="26">
        <v>4.0000000000000002E-4</v>
      </c>
      <c r="N111" s="27">
        <f>(D34+(D33*2*D36))*12*D19+N51</f>
        <v>396000</v>
      </c>
      <c r="O111" s="34">
        <f t="shared" si="1"/>
        <v>198</v>
      </c>
    </row>
    <row r="112" spans="8:15" ht="14.25" customHeight="1">
      <c r="H112" s="1">
        <v>109</v>
      </c>
      <c r="I112" s="2" t="s">
        <v>201</v>
      </c>
      <c r="J112" s="33" t="s">
        <v>202</v>
      </c>
      <c r="K112" s="33" t="s">
        <v>4</v>
      </c>
      <c r="L112" s="26">
        <v>1E-4</v>
      </c>
      <c r="M112" s="26">
        <v>5.0000000000000001E-4</v>
      </c>
      <c r="N112" s="27">
        <f>N111</f>
        <v>396000</v>
      </c>
      <c r="O112" s="34">
        <f t="shared" si="1"/>
        <v>237.60000000000002</v>
      </c>
    </row>
    <row r="113" spans="8:15" ht="14.25" customHeight="1">
      <c r="H113" s="1">
        <v>110</v>
      </c>
      <c r="I113" s="2" t="s">
        <v>203</v>
      </c>
      <c r="J113" s="33" t="s">
        <v>204</v>
      </c>
      <c r="K113" s="33" t="s">
        <v>4</v>
      </c>
      <c r="L113" s="26">
        <v>1E-4</v>
      </c>
      <c r="M113" s="26">
        <v>2.9999999999999997E-4</v>
      </c>
      <c r="N113" s="27">
        <f>((D34+D33*2*D36)*D35+D42*(D43))*12*D19</f>
        <v>1980000</v>
      </c>
      <c r="O113" s="34">
        <f t="shared" si="1"/>
        <v>791.99999999999989</v>
      </c>
    </row>
    <row r="114" spans="8:15" ht="14.25" customHeight="1">
      <c r="H114" s="1">
        <v>111</v>
      </c>
      <c r="I114" s="2" t="s">
        <v>205</v>
      </c>
      <c r="J114" s="33" t="s">
        <v>206</v>
      </c>
      <c r="K114" s="33" t="s">
        <v>4</v>
      </c>
      <c r="L114" s="26">
        <v>2.9999999999999997E-4</v>
      </c>
      <c r="M114" s="26">
        <v>2.0000000000000001E-4</v>
      </c>
      <c r="N114" s="27">
        <f>(12*D20)*IF(D18&gt;0,D18,D17)</f>
        <v>3600000</v>
      </c>
      <c r="O114" s="34">
        <f t="shared" si="1"/>
        <v>1800</v>
      </c>
    </row>
    <row r="115" spans="8:15" ht="14.25" customHeight="1">
      <c r="H115" s="1">
        <v>112</v>
      </c>
      <c r="I115" s="2" t="s">
        <v>207</v>
      </c>
      <c r="J115" s="33" t="s">
        <v>208</v>
      </c>
      <c r="K115" s="33" t="s">
        <v>4</v>
      </c>
      <c r="L115" s="26">
        <v>1E-4</v>
      </c>
      <c r="M115" s="26">
        <v>2.0000000000000001E-4</v>
      </c>
      <c r="N115" s="27">
        <f>D33</f>
        <v>3000</v>
      </c>
      <c r="O115" s="34">
        <f t="shared" si="1"/>
        <v>0.90000000000000013</v>
      </c>
    </row>
    <row r="116" spans="8:15" ht="14.25" customHeight="1">
      <c r="H116" s="1">
        <v>113</v>
      </c>
      <c r="I116" s="2" t="s">
        <v>209</v>
      </c>
      <c r="J116" s="33" t="s">
        <v>210</v>
      </c>
      <c r="K116" s="33" t="s">
        <v>4</v>
      </c>
      <c r="L116" s="26">
        <v>1E-4</v>
      </c>
      <c r="M116" s="26">
        <v>2.9999999999999997E-4</v>
      </c>
      <c r="N116" s="27">
        <f>D33</f>
        <v>3000</v>
      </c>
      <c r="O116" s="34">
        <f t="shared" si="1"/>
        <v>1.2</v>
      </c>
    </row>
    <row r="117" spans="8:15" ht="14.25" customHeight="1">
      <c r="H117" s="1">
        <v>114</v>
      </c>
      <c r="I117" s="2" t="s">
        <v>211</v>
      </c>
      <c r="J117" s="33" t="s">
        <v>212</v>
      </c>
      <c r="K117" s="33" t="s">
        <v>4</v>
      </c>
      <c r="L117" s="26">
        <v>1E-4</v>
      </c>
      <c r="M117" s="26">
        <v>2.0000000000000001E-4</v>
      </c>
      <c r="N117" s="27">
        <v>100</v>
      </c>
      <c r="O117" s="34">
        <f t="shared" si="1"/>
        <v>3.0000000000000002E-2</v>
      </c>
    </row>
    <row r="118" spans="8:15" ht="14.25" customHeight="1">
      <c r="H118" s="1">
        <v>115</v>
      </c>
      <c r="I118" s="2" t="s">
        <v>441</v>
      </c>
      <c r="J118" s="33" t="s">
        <v>213</v>
      </c>
      <c r="K118" s="33" t="s">
        <v>4</v>
      </c>
      <c r="L118" s="26">
        <v>1E-4</v>
      </c>
      <c r="M118" s="26">
        <v>2.9999999999999997E-4</v>
      </c>
      <c r="N118" s="27">
        <v>100</v>
      </c>
      <c r="O118" s="34">
        <f t="shared" si="1"/>
        <v>3.9999999999999994E-2</v>
      </c>
    </row>
    <row r="119" spans="8:15" ht="14.25" customHeight="1">
      <c r="H119" s="1">
        <v>116</v>
      </c>
      <c r="I119" s="2" t="s">
        <v>214</v>
      </c>
      <c r="J119" s="33" t="s">
        <v>215</v>
      </c>
      <c r="K119" s="33" t="s">
        <v>4</v>
      </c>
      <c r="L119" s="26">
        <v>1E-4</v>
      </c>
      <c r="M119" s="26">
        <v>2.9999999999999997E-4</v>
      </c>
      <c r="N119" s="27">
        <f>N118*10</f>
        <v>1000</v>
      </c>
      <c r="O119" s="34">
        <f t="shared" si="1"/>
        <v>0.39999999999999997</v>
      </c>
    </row>
    <row r="120" spans="8:15" ht="14.25" customHeight="1">
      <c r="H120" s="1">
        <v>117</v>
      </c>
      <c r="I120" s="2" t="s">
        <v>605</v>
      </c>
      <c r="J120" s="33" t="s">
        <v>216</v>
      </c>
      <c r="K120" s="33" t="s">
        <v>4</v>
      </c>
      <c r="L120" s="26">
        <v>2.9999999999999997E-4</v>
      </c>
      <c r="M120" s="26">
        <v>2.9999999999999997E-4</v>
      </c>
      <c r="N120" s="27">
        <f>D7*12*D19/6+N104+N111+N141+N178+N123</f>
        <v>5096000</v>
      </c>
      <c r="O120" s="34">
        <f t="shared" si="1"/>
        <v>3057.6</v>
      </c>
    </row>
    <row r="121" spans="8:15" ht="14.25" customHeight="1">
      <c r="H121" s="1">
        <v>118</v>
      </c>
      <c r="I121" s="2" t="s">
        <v>217</v>
      </c>
      <c r="J121" s="33" t="s">
        <v>218</v>
      </c>
      <c r="K121" s="33" t="s">
        <v>4</v>
      </c>
      <c r="L121" s="26">
        <v>1E-4</v>
      </c>
      <c r="M121" s="26">
        <v>2.0000000000000001E-4</v>
      </c>
      <c r="N121" s="27">
        <f>N104+N111</f>
        <v>1596000</v>
      </c>
      <c r="O121" s="34">
        <f t="shared" si="1"/>
        <v>478.80000000000007</v>
      </c>
    </row>
    <row r="122" spans="8:15" ht="14.25" customHeight="1">
      <c r="H122" s="1">
        <v>119</v>
      </c>
      <c r="I122" s="2" t="s">
        <v>1312</v>
      </c>
      <c r="J122" s="33" t="s">
        <v>219</v>
      </c>
      <c r="K122" s="33" t="s">
        <v>4</v>
      </c>
      <c r="L122" s="51">
        <v>4.0000000000000002E-4</v>
      </c>
      <c r="M122" s="26">
        <v>2.9999999999999997E-4</v>
      </c>
      <c r="N122" s="27">
        <f>D7*12*D19+N113+N106+N178+N179+N142+N143</f>
        <v>20400000</v>
      </c>
      <c r="O122" s="34">
        <f t="shared" si="1"/>
        <v>14280</v>
      </c>
    </row>
    <row r="123" spans="8:15" ht="14.25" customHeight="1">
      <c r="H123" s="1">
        <v>120</v>
      </c>
      <c r="I123" s="2" t="s">
        <v>220</v>
      </c>
      <c r="J123" s="33" t="s">
        <v>221</v>
      </c>
      <c r="K123" s="33" t="s">
        <v>4</v>
      </c>
      <c r="L123" s="26">
        <v>1E-4</v>
      </c>
      <c r="M123" s="26">
        <v>1E-4</v>
      </c>
      <c r="N123" s="27">
        <f>D33*12*D19</f>
        <v>360000</v>
      </c>
      <c r="O123" s="34">
        <f t="shared" si="1"/>
        <v>72</v>
      </c>
    </row>
    <row r="124" spans="8:15" ht="14.25" customHeight="1">
      <c r="H124" s="1">
        <v>121</v>
      </c>
      <c r="I124" s="2" t="s">
        <v>1311</v>
      </c>
      <c r="J124" s="33" t="s">
        <v>222</v>
      </c>
      <c r="K124" s="33" t="s">
        <v>4</v>
      </c>
      <c r="L124" s="26">
        <v>1E-4</v>
      </c>
      <c r="M124" s="26">
        <v>1E-4</v>
      </c>
      <c r="N124" s="27">
        <v>5</v>
      </c>
      <c r="O124" s="34">
        <f t="shared" si="1"/>
        <v>1E-3</v>
      </c>
    </row>
    <row r="125" spans="8:15" ht="14.25" customHeight="1">
      <c r="H125" s="1">
        <v>122</v>
      </c>
      <c r="I125" s="2" t="s">
        <v>223</v>
      </c>
      <c r="J125" s="33" t="s">
        <v>224</v>
      </c>
      <c r="K125" s="33" t="s">
        <v>4</v>
      </c>
      <c r="L125" s="26">
        <v>1E-4</v>
      </c>
      <c r="M125" s="26">
        <v>1E-4</v>
      </c>
      <c r="N125" s="27">
        <v>5</v>
      </c>
      <c r="O125" s="34">
        <f t="shared" si="1"/>
        <v>1E-3</v>
      </c>
    </row>
    <row r="126" spans="8:15" ht="14.25" customHeight="1">
      <c r="H126" s="1">
        <v>123</v>
      </c>
      <c r="I126" s="2" t="s">
        <v>225</v>
      </c>
      <c r="J126" s="33" t="s">
        <v>226</v>
      </c>
      <c r="K126" s="33" t="s">
        <v>4</v>
      </c>
      <c r="L126" s="26">
        <v>1E-4</v>
      </c>
      <c r="M126" s="26">
        <v>1E-4</v>
      </c>
      <c r="N126" s="27">
        <f>N111*0.05</f>
        <v>19800</v>
      </c>
      <c r="O126" s="34">
        <f t="shared" si="1"/>
        <v>3.9600000000000004</v>
      </c>
    </row>
    <row r="127" spans="8:15" ht="14.25" customHeight="1">
      <c r="H127" s="1">
        <v>124</v>
      </c>
      <c r="I127" s="2" t="s">
        <v>227</v>
      </c>
      <c r="J127" s="33" t="s">
        <v>228</v>
      </c>
      <c r="K127" s="33" t="s">
        <v>4</v>
      </c>
      <c r="L127" s="26">
        <v>1E-4</v>
      </c>
      <c r="M127" s="26">
        <v>2.0000000000000001E-4</v>
      </c>
      <c r="N127" s="27">
        <v>10</v>
      </c>
      <c r="O127" s="34">
        <f t="shared" si="1"/>
        <v>3.0000000000000001E-3</v>
      </c>
    </row>
    <row r="128" spans="8:15" ht="14.25" customHeight="1">
      <c r="H128" s="1">
        <v>125</v>
      </c>
      <c r="I128" s="2" t="s">
        <v>229</v>
      </c>
      <c r="J128" s="33" t="s">
        <v>230</v>
      </c>
      <c r="K128" s="33" t="s">
        <v>9</v>
      </c>
      <c r="L128" s="26">
        <v>1E-4</v>
      </c>
      <c r="M128" s="26">
        <v>2.0000000000000001E-4</v>
      </c>
      <c r="N128" s="27">
        <f>D41*2</f>
        <v>1000</v>
      </c>
      <c r="O128" s="34">
        <f t="shared" si="1"/>
        <v>0.30000000000000004</v>
      </c>
    </row>
    <row r="129" spans="8:15" ht="14.25" customHeight="1">
      <c r="H129" s="1">
        <v>126</v>
      </c>
      <c r="I129" s="2" t="s">
        <v>231</v>
      </c>
      <c r="J129" s="33" t="s">
        <v>232</v>
      </c>
      <c r="K129" s="33" t="s">
        <v>4</v>
      </c>
      <c r="L129" s="26">
        <v>1E-4</v>
      </c>
      <c r="M129" s="26">
        <v>2.0000000000000001E-4</v>
      </c>
      <c r="N129" s="27">
        <f>D41</f>
        <v>500</v>
      </c>
      <c r="O129" s="34">
        <f t="shared" si="1"/>
        <v>0.15000000000000002</v>
      </c>
    </row>
    <row r="130" spans="8:15" ht="14.25" customHeight="1">
      <c r="H130" s="1">
        <v>127</v>
      </c>
      <c r="I130" s="2" t="s">
        <v>233</v>
      </c>
      <c r="J130" s="33" t="s">
        <v>234</v>
      </c>
      <c r="K130" s="33" t="s">
        <v>4</v>
      </c>
      <c r="L130" s="26">
        <v>1E-4</v>
      </c>
      <c r="M130" s="26">
        <v>1E-4</v>
      </c>
      <c r="N130" s="27">
        <f>5*2*D19</f>
        <v>100</v>
      </c>
      <c r="O130" s="34">
        <f t="shared" si="1"/>
        <v>0.02</v>
      </c>
    </row>
    <row r="131" spans="8:15" ht="14.25" customHeight="1">
      <c r="H131" s="1">
        <v>128</v>
      </c>
      <c r="I131" s="2" t="s">
        <v>235</v>
      </c>
      <c r="J131" s="33" t="s">
        <v>236</v>
      </c>
      <c r="K131" s="33" t="s">
        <v>4</v>
      </c>
      <c r="L131" s="26">
        <v>1E-4</v>
      </c>
      <c r="M131" s="26">
        <v>1E-4</v>
      </c>
      <c r="N131" s="27">
        <v>10</v>
      </c>
      <c r="O131" s="34">
        <f t="shared" si="1"/>
        <v>2E-3</v>
      </c>
    </row>
    <row r="132" spans="8:15" ht="14.25" customHeight="1">
      <c r="H132" s="1">
        <v>129</v>
      </c>
      <c r="I132" s="2" t="s">
        <v>237</v>
      </c>
      <c r="J132" s="33" t="s">
        <v>238</v>
      </c>
      <c r="K132" s="33" t="s">
        <v>4</v>
      </c>
      <c r="L132" s="26">
        <v>1E-4</v>
      </c>
      <c r="M132" s="26">
        <v>2.0000000000000001E-4</v>
      </c>
      <c r="N132" s="27">
        <f>(D33+D41+D46)*12*D20</f>
        <v>1020000</v>
      </c>
      <c r="O132" s="34">
        <f t="shared" si="1"/>
        <v>306.00000000000006</v>
      </c>
    </row>
    <row r="133" spans="8:15" ht="14.25" customHeight="1">
      <c r="H133" s="1">
        <v>130</v>
      </c>
      <c r="I133" s="2" t="s">
        <v>239</v>
      </c>
      <c r="J133" s="33" t="s">
        <v>240</v>
      </c>
      <c r="K133" s="33" t="s">
        <v>4</v>
      </c>
      <c r="L133" s="26">
        <v>1E-4</v>
      </c>
      <c r="M133" s="26">
        <v>2.9999999999999997E-4</v>
      </c>
      <c r="N133" s="27">
        <f>D33+D46</f>
        <v>8000</v>
      </c>
      <c r="O133" s="34">
        <f t="shared" ref="O133:O196" si="2">(L133+M133)*N133</f>
        <v>3.1999999999999997</v>
      </c>
    </row>
    <row r="134" spans="8:15" ht="14.25" customHeight="1">
      <c r="H134" s="1">
        <v>131</v>
      </c>
      <c r="I134" s="2" t="s">
        <v>241</v>
      </c>
      <c r="J134" s="33" t="s">
        <v>242</v>
      </c>
      <c r="K134" s="33" t="s">
        <v>4</v>
      </c>
      <c r="L134" s="26">
        <v>1E-4</v>
      </c>
      <c r="M134" s="26">
        <v>1E-4</v>
      </c>
      <c r="N134" s="27">
        <f>D46*12*D19</f>
        <v>600000</v>
      </c>
      <c r="O134" s="34">
        <f t="shared" si="2"/>
        <v>120</v>
      </c>
    </row>
    <row r="135" spans="8:15" ht="14.25" customHeight="1">
      <c r="H135" s="1">
        <v>132</v>
      </c>
      <c r="I135" s="2" t="s">
        <v>243</v>
      </c>
      <c r="J135" s="33" t="s">
        <v>244</v>
      </c>
      <c r="K135" s="33" t="s">
        <v>4</v>
      </c>
      <c r="L135" s="26">
        <v>1E-4</v>
      </c>
      <c r="M135" s="26">
        <v>2.0000000000000001E-4</v>
      </c>
      <c r="N135" s="27">
        <f>N55*20</f>
        <v>5020</v>
      </c>
      <c r="O135" s="34">
        <f t="shared" si="2"/>
        <v>1.5060000000000002</v>
      </c>
    </row>
    <row r="136" spans="8:15" ht="14.25" customHeight="1">
      <c r="H136" s="1">
        <v>133</v>
      </c>
      <c r="I136" s="2" t="s">
        <v>245</v>
      </c>
      <c r="J136" s="33" t="s">
        <v>246</v>
      </c>
      <c r="K136" s="33" t="s">
        <v>9</v>
      </c>
      <c r="L136" s="26">
        <v>1E-4</v>
      </c>
      <c r="M136" s="26">
        <v>1E-4</v>
      </c>
      <c r="N136" s="27">
        <v>5</v>
      </c>
      <c r="O136" s="34">
        <f t="shared" si="2"/>
        <v>1E-3</v>
      </c>
    </row>
    <row r="137" spans="8:15" ht="14.25" customHeight="1">
      <c r="H137" s="1">
        <v>134</v>
      </c>
      <c r="I137" s="2" t="s">
        <v>602</v>
      </c>
      <c r="J137" s="33" t="s">
        <v>247</v>
      </c>
      <c r="K137" s="33" t="s">
        <v>9</v>
      </c>
      <c r="L137" s="26">
        <v>1E-4</v>
      </c>
      <c r="M137" s="26">
        <v>1E-4</v>
      </c>
      <c r="N137" s="27">
        <f>N33+D41</f>
        <v>1500</v>
      </c>
      <c r="O137" s="34">
        <f t="shared" si="2"/>
        <v>0.3</v>
      </c>
    </row>
    <row r="138" spans="8:15" ht="14.25" customHeight="1">
      <c r="H138" s="1">
        <v>135</v>
      </c>
      <c r="I138" s="2" t="s">
        <v>248</v>
      </c>
      <c r="J138" s="33" t="s">
        <v>249</v>
      </c>
      <c r="K138" s="33" t="s">
        <v>9</v>
      </c>
      <c r="L138" s="26">
        <v>1E-4</v>
      </c>
      <c r="M138" s="26">
        <v>1E-4</v>
      </c>
      <c r="N138" s="27">
        <v>20</v>
      </c>
      <c r="O138" s="34">
        <f t="shared" si="2"/>
        <v>4.0000000000000001E-3</v>
      </c>
    </row>
    <row r="139" spans="8:15" ht="14.25" customHeight="1">
      <c r="H139" s="1">
        <v>136</v>
      </c>
      <c r="I139" s="2" t="s">
        <v>250</v>
      </c>
      <c r="J139" s="33" t="s">
        <v>251</v>
      </c>
      <c r="K139" s="33" t="s">
        <v>4</v>
      </c>
      <c r="L139" s="26">
        <v>1E-4</v>
      </c>
      <c r="M139" s="26">
        <v>1E-4</v>
      </c>
      <c r="N139" s="27">
        <f>D46</f>
        <v>5000</v>
      </c>
      <c r="O139" s="34">
        <f t="shared" si="2"/>
        <v>1</v>
      </c>
    </row>
    <row r="140" spans="8:15" ht="14.25" customHeight="1">
      <c r="H140" s="1">
        <v>137</v>
      </c>
      <c r="I140" s="2" t="s">
        <v>252</v>
      </c>
      <c r="J140" s="33" t="s">
        <v>253</v>
      </c>
      <c r="K140" s="33" t="s">
        <v>4</v>
      </c>
      <c r="L140" s="26">
        <v>1E-4</v>
      </c>
      <c r="M140" s="26">
        <v>2.9999999999999997E-4</v>
      </c>
      <c r="N140" s="27">
        <f>N141*0.05</f>
        <v>30000</v>
      </c>
      <c r="O140" s="34">
        <f t="shared" si="2"/>
        <v>11.999999999999998</v>
      </c>
    </row>
    <row r="141" spans="8:15" ht="14.25" customHeight="1">
      <c r="H141" s="1">
        <v>138</v>
      </c>
      <c r="I141" s="2" t="s">
        <v>254</v>
      </c>
      <c r="J141" s="33" t="s">
        <v>255</v>
      </c>
      <c r="K141" s="33" t="s">
        <v>4</v>
      </c>
      <c r="L141" s="26">
        <v>1E-4</v>
      </c>
      <c r="M141" s="26">
        <v>5.0000000000000001E-4</v>
      </c>
      <c r="N141" s="27">
        <f>D46*12*D19</f>
        <v>600000</v>
      </c>
      <c r="O141" s="34">
        <f t="shared" si="2"/>
        <v>360.00000000000006</v>
      </c>
    </row>
    <row r="142" spans="8:15" ht="14.25" customHeight="1">
      <c r="H142" s="1">
        <v>139</v>
      </c>
      <c r="I142" s="2" t="s">
        <v>256</v>
      </c>
      <c r="J142" s="33" t="s">
        <v>257</v>
      </c>
      <c r="K142" s="33" t="s">
        <v>4</v>
      </c>
      <c r="L142" s="26">
        <v>1E-4</v>
      </c>
      <c r="M142" s="26">
        <v>2.9999999999999997E-4</v>
      </c>
      <c r="N142" s="27">
        <f>D49*12*D19</f>
        <v>540000</v>
      </c>
      <c r="O142" s="34">
        <f t="shared" si="2"/>
        <v>215.99999999999997</v>
      </c>
    </row>
    <row r="143" spans="8:15" ht="14.25" customHeight="1">
      <c r="H143" s="1">
        <v>140</v>
      </c>
      <c r="I143" s="2" t="s">
        <v>258</v>
      </c>
      <c r="J143" s="33" t="s">
        <v>259</v>
      </c>
      <c r="K143" s="33" t="s">
        <v>4</v>
      </c>
      <c r="L143" s="26">
        <v>1E-4</v>
      </c>
      <c r="M143" s="26">
        <v>2.0000000000000001E-4</v>
      </c>
      <c r="N143" s="27">
        <f>D47*12*D19</f>
        <v>1200000</v>
      </c>
      <c r="O143" s="34">
        <f t="shared" si="2"/>
        <v>360.00000000000006</v>
      </c>
    </row>
    <row r="144" spans="8:15" ht="14.25" customHeight="1">
      <c r="H144" s="1">
        <v>141</v>
      </c>
      <c r="I144" s="2" t="s">
        <v>260</v>
      </c>
      <c r="J144" s="33" t="s">
        <v>261</v>
      </c>
      <c r="K144" s="33" t="s">
        <v>4</v>
      </c>
      <c r="L144" s="26">
        <v>1E-4</v>
      </c>
      <c r="M144" s="26">
        <v>2.9999999999999997E-4</v>
      </c>
      <c r="N144" s="27">
        <f>D33</f>
        <v>3000</v>
      </c>
      <c r="O144" s="34">
        <f t="shared" si="2"/>
        <v>1.2</v>
      </c>
    </row>
    <row r="145" spans="8:15" ht="14.25" customHeight="1">
      <c r="H145" s="1">
        <v>142</v>
      </c>
      <c r="I145" s="2" t="s">
        <v>262</v>
      </c>
      <c r="J145" s="33" t="s">
        <v>263</v>
      </c>
      <c r="K145" s="33" t="s">
        <v>4</v>
      </c>
      <c r="L145" s="26">
        <v>1E-4</v>
      </c>
      <c r="M145" s="26">
        <v>2.9999999999999997E-4</v>
      </c>
      <c r="N145" s="27">
        <v>0</v>
      </c>
      <c r="O145" s="34">
        <f t="shared" si="2"/>
        <v>0</v>
      </c>
    </row>
    <row r="146" spans="8:15" ht="14.25" customHeight="1">
      <c r="H146" s="1">
        <v>143</v>
      </c>
      <c r="I146" s="2" t="s">
        <v>264</v>
      </c>
      <c r="J146" s="33" t="s">
        <v>265</v>
      </c>
      <c r="K146" s="33" t="s">
        <v>4</v>
      </c>
      <c r="L146" s="26">
        <v>1E-4</v>
      </c>
      <c r="M146" s="26">
        <v>1E-4</v>
      </c>
      <c r="N146" s="27">
        <v>12</v>
      </c>
      <c r="O146" s="34">
        <f t="shared" si="2"/>
        <v>2.4000000000000002E-3</v>
      </c>
    </row>
    <row r="147" spans="8:15" ht="14.25" customHeight="1">
      <c r="H147" s="1">
        <v>144</v>
      </c>
      <c r="I147" s="2" t="s">
        <v>266</v>
      </c>
      <c r="J147" s="33" t="s">
        <v>267</v>
      </c>
      <c r="K147" s="33" t="s">
        <v>4</v>
      </c>
      <c r="L147" s="26">
        <v>1E-4</v>
      </c>
      <c r="M147" s="26">
        <v>1E-4</v>
      </c>
      <c r="N147" s="27">
        <f>D10*2*5</f>
        <v>500</v>
      </c>
      <c r="O147" s="34">
        <f t="shared" si="2"/>
        <v>0.1</v>
      </c>
    </row>
    <row r="148" spans="8:15" ht="14.25" customHeight="1">
      <c r="H148" s="1">
        <v>145</v>
      </c>
      <c r="I148" s="2" t="s">
        <v>1146</v>
      </c>
      <c r="J148" s="33" t="s">
        <v>268</v>
      </c>
      <c r="K148" s="33" t="s">
        <v>4</v>
      </c>
      <c r="L148" s="26">
        <v>1E-4</v>
      </c>
      <c r="M148" s="26">
        <v>2.0000000000000001E-4</v>
      </c>
      <c r="N148" s="27">
        <f>D50*12*D19</f>
        <v>60000</v>
      </c>
      <c r="O148" s="34">
        <f t="shared" si="2"/>
        <v>18</v>
      </c>
    </row>
    <row r="149" spans="8:15" ht="14.25" customHeight="1">
      <c r="H149" s="1">
        <v>146</v>
      </c>
      <c r="I149" s="2" t="s">
        <v>269</v>
      </c>
      <c r="J149" s="33" t="s">
        <v>270</v>
      </c>
      <c r="K149" s="33" t="s">
        <v>4</v>
      </c>
      <c r="L149" s="26">
        <v>1E-4</v>
      </c>
      <c r="M149" s="26">
        <v>2.9999999999999997E-4</v>
      </c>
      <c r="N149" s="27">
        <f>N148</f>
        <v>60000</v>
      </c>
      <c r="O149" s="34">
        <f t="shared" si="2"/>
        <v>23.999999999999996</v>
      </c>
    </row>
    <row r="150" spans="8:15" ht="14.25" customHeight="1">
      <c r="H150" s="1">
        <v>147</v>
      </c>
      <c r="I150" s="2" t="s">
        <v>271</v>
      </c>
      <c r="J150" s="33" t="s">
        <v>272</v>
      </c>
      <c r="K150" s="33" t="s">
        <v>4</v>
      </c>
      <c r="L150" s="26">
        <v>1E-4</v>
      </c>
      <c r="M150" s="26">
        <v>2.9999999999999997E-4</v>
      </c>
      <c r="N150" s="27">
        <f>N148</f>
        <v>60000</v>
      </c>
      <c r="O150" s="34">
        <f t="shared" si="2"/>
        <v>23.999999999999996</v>
      </c>
    </row>
    <row r="151" spans="8:15" ht="14.25" customHeight="1">
      <c r="H151" s="1">
        <v>148</v>
      </c>
      <c r="I151" s="2" t="s">
        <v>273</v>
      </c>
      <c r="J151" s="33" t="s">
        <v>274</v>
      </c>
      <c r="K151" s="33" t="s">
        <v>4</v>
      </c>
      <c r="L151" s="26">
        <v>1E-4</v>
      </c>
      <c r="M151" s="26">
        <v>2.9999999999999997E-4</v>
      </c>
      <c r="N151" s="27">
        <f>N148*2</f>
        <v>120000</v>
      </c>
      <c r="O151" s="34">
        <f t="shared" si="2"/>
        <v>47.999999999999993</v>
      </c>
    </row>
    <row r="152" spans="8:15" ht="14.25" customHeight="1">
      <c r="H152" s="1">
        <v>149</v>
      </c>
      <c r="I152" s="2" t="s">
        <v>275</v>
      </c>
      <c r="J152" s="33" t="s">
        <v>276</v>
      </c>
      <c r="K152" s="33" t="s">
        <v>4</v>
      </c>
      <c r="L152" s="26">
        <v>1E-4</v>
      </c>
      <c r="M152" s="26">
        <v>2.0000000000000001E-4</v>
      </c>
      <c r="N152" s="27">
        <f>119*4*D20</f>
        <v>4760</v>
      </c>
      <c r="O152" s="34">
        <f t="shared" si="2"/>
        <v>1.4280000000000002</v>
      </c>
    </row>
    <row r="153" spans="8:15" ht="14.25" customHeight="1">
      <c r="H153" s="1">
        <v>150</v>
      </c>
      <c r="I153" s="2" t="s">
        <v>277</v>
      </c>
      <c r="J153" s="33" t="s">
        <v>278</v>
      </c>
      <c r="K153" s="33" t="s">
        <v>4</v>
      </c>
      <c r="L153" s="26">
        <v>1E-4</v>
      </c>
      <c r="M153" s="26">
        <v>1E-4</v>
      </c>
      <c r="N153" s="27">
        <v>69</v>
      </c>
      <c r="O153" s="34">
        <f t="shared" si="2"/>
        <v>1.3800000000000002E-2</v>
      </c>
    </row>
    <row r="154" spans="8:15" ht="14.25" customHeight="1">
      <c r="H154" s="1">
        <v>151</v>
      </c>
      <c r="I154" s="2" t="s">
        <v>279</v>
      </c>
      <c r="J154" s="33" t="s">
        <v>280</v>
      </c>
      <c r="K154" s="33" t="s">
        <v>4</v>
      </c>
      <c r="L154" s="26">
        <v>1E-4</v>
      </c>
      <c r="M154" s="26">
        <v>1E-4</v>
      </c>
      <c r="N154" s="27">
        <v>65</v>
      </c>
      <c r="O154" s="34">
        <f t="shared" si="2"/>
        <v>1.3000000000000001E-2</v>
      </c>
    </row>
    <row r="155" spans="8:15" ht="14.25" customHeight="1">
      <c r="H155" s="1">
        <v>152</v>
      </c>
      <c r="I155" s="2" t="s">
        <v>603</v>
      </c>
      <c r="J155" s="33" t="s">
        <v>281</v>
      </c>
      <c r="K155" s="33" t="s">
        <v>9</v>
      </c>
      <c r="L155" s="26">
        <v>1E-4</v>
      </c>
      <c r="M155" s="26">
        <v>1E-4</v>
      </c>
      <c r="N155" s="27">
        <f>D10*2</f>
        <v>100</v>
      </c>
      <c r="O155" s="34">
        <f t="shared" si="2"/>
        <v>0.02</v>
      </c>
    </row>
    <row r="156" spans="8:15" ht="14.25" customHeight="1">
      <c r="H156" s="1">
        <v>153</v>
      </c>
      <c r="I156" s="2" t="s">
        <v>282</v>
      </c>
      <c r="J156" s="33" t="s">
        <v>283</v>
      </c>
      <c r="K156" s="33" t="s">
        <v>9</v>
      </c>
      <c r="L156" s="26">
        <v>1E-4</v>
      </c>
      <c r="M156" s="26">
        <v>1E-4</v>
      </c>
      <c r="N156" s="27">
        <f>D10</f>
        <v>50</v>
      </c>
      <c r="O156" s="34">
        <f t="shared" si="2"/>
        <v>0.01</v>
      </c>
    </row>
    <row r="157" spans="8:15" ht="14.25" customHeight="1">
      <c r="H157" s="1">
        <v>154</v>
      </c>
      <c r="I157" s="2" t="s">
        <v>284</v>
      </c>
      <c r="J157" s="33" t="s">
        <v>285</v>
      </c>
      <c r="K157" s="33" t="s">
        <v>4</v>
      </c>
      <c r="L157" s="26">
        <v>1E-4</v>
      </c>
      <c r="M157" s="26">
        <v>1E-4</v>
      </c>
      <c r="N157" s="27">
        <v>35</v>
      </c>
      <c r="O157" s="34">
        <f t="shared" si="2"/>
        <v>7.0000000000000001E-3</v>
      </c>
    </row>
    <row r="158" spans="8:15" ht="14.25" customHeight="1">
      <c r="H158" s="1">
        <v>155</v>
      </c>
      <c r="I158" s="2" t="s">
        <v>286</v>
      </c>
      <c r="J158" s="33" t="s">
        <v>287</v>
      </c>
      <c r="K158" s="33" t="s">
        <v>4</v>
      </c>
      <c r="L158" s="26">
        <v>1E-4</v>
      </c>
      <c r="M158" s="26">
        <v>1E-4</v>
      </c>
      <c r="N158" s="27">
        <f>148*4*D20</f>
        <v>5920</v>
      </c>
      <c r="O158" s="34">
        <f t="shared" si="2"/>
        <v>1.1840000000000002</v>
      </c>
    </row>
    <row r="159" spans="8:15" ht="14.25" customHeight="1">
      <c r="H159" s="1">
        <v>156</v>
      </c>
      <c r="I159" s="2" t="s">
        <v>288</v>
      </c>
      <c r="J159" s="33" t="s">
        <v>289</v>
      </c>
      <c r="K159" s="33" t="s">
        <v>4</v>
      </c>
      <c r="L159" s="26">
        <v>1E-4</v>
      </c>
      <c r="M159" s="26">
        <v>1E-4</v>
      </c>
      <c r="N159" s="27">
        <v>7</v>
      </c>
      <c r="O159" s="34">
        <f t="shared" si="2"/>
        <v>1.4E-3</v>
      </c>
    </row>
    <row r="160" spans="8:15" ht="14.25" customHeight="1">
      <c r="H160" s="1">
        <v>157</v>
      </c>
      <c r="I160" s="2" t="s">
        <v>290</v>
      </c>
      <c r="J160" s="33" t="s">
        <v>291</v>
      </c>
      <c r="K160" s="33" t="s">
        <v>4</v>
      </c>
      <c r="L160" s="26">
        <v>1E-4</v>
      </c>
      <c r="M160" s="26">
        <v>2.0000000000000001E-4</v>
      </c>
      <c r="N160" s="27">
        <v>10</v>
      </c>
      <c r="O160" s="34">
        <f t="shared" si="2"/>
        <v>3.0000000000000001E-3</v>
      </c>
    </row>
    <row r="161" spans="8:15" ht="14.25" customHeight="1">
      <c r="H161" s="1">
        <v>158</v>
      </c>
      <c r="I161" s="2" t="s">
        <v>292</v>
      </c>
      <c r="J161" s="33" t="s">
        <v>293</v>
      </c>
      <c r="K161" s="33" t="s">
        <v>4</v>
      </c>
      <c r="L161" s="26">
        <v>1E-4</v>
      </c>
      <c r="M161" s="26">
        <v>2.9999999999999997E-4</v>
      </c>
      <c r="N161" s="27">
        <v>30</v>
      </c>
      <c r="O161" s="34">
        <f t="shared" si="2"/>
        <v>1.1999999999999999E-2</v>
      </c>
    </row>
    <row r="162" spans="8:15" ht="14.25" customHeight="1">
      <c r="H162" s="1">
        <v>159</v>
      </c>
      <c r="I162" s="2" t="s">
        <v>294</v>
      </c>
      <c r="J162" s="33" t="s">
        <v>295</v>
      </c>
      <c r="K162" s="33" t="s">
        <v>4</v>
      </c>
      <c r="L162" s="26">
        <v>1E-4</v>
      </c>
      <c r="M162" s="26">
        <v>2.9999999999999997E-4</v>
      </c>
      <c r="N162" s="27">
        <v>300</v>
      </c>
      <c r="O162" s="34">
        <f t="shared" si="2"/>
        <v>0.12</v>
      </c>
    </row>
    <row r="163" spans="8:15" ht="14.25" customHeight="1">
      <c r="H163" s="1">
        <v>160</v>
      </c>
      <c r="I163" s="2" t="s">
        <v>296</v>
      </c>
      <c r="J163" s="33" t="s">
        <v>297</v>
      </c>
      <c r="K163" s="33" t="s">
        <v>4</v>
      </c>
      <c r="L163" s="26">
        <v>1E-4</v>
      </c>
      <c r="M163" s="26">
        <v>2.0000000000000001E-4</v>
      </c>
      <c r="N163" s="27">
        <v>10</v>
      </c>
      <c r="O163" s="34">
        <f t="shared" si="2"/>
        <v>3.0000000000000001E-3</v>
      </c>
    </row>
    <row r="164" spans="8:15" ht="14.25" customHeight="1">
      <c r="H164" s="1">
        <v>161</v>
      </c>
      <c r="I164" s="2" t="s">
        <v>1147</v>
      </c>
      <c r="J164" s="33" t="s">
        <v>298</v>
      </c>
      <c r="K164" s="33" t="s">
        <v>4</v>
      </c>
      <c r="L164" s="26">
        <v>1E-4</v>
      </c>
      <c r="M164" s="26">
        <v>2.9999999999999997E-4</v>
      </c>
      <c r="N164" s="27">
        <v>30</v>
      </c>
      <c r="O164" s="34">
        <f t="shared" si="2"/>
        <v>1.1999999999999999E-2</v>
      </c>
    </row>
    <row r="165" spans="8:15" ht="14.25" customHeight="1">
      <c r="H165" s="1">
        <v>162</v>
      </c>
      <c r="I165" s="2" t="s">
        <v>604</v>
      </c>
      <c r="J165" s="33" t="s">
        <v>299</v>
      </c>
      <c r="K165" s="33" t="s">
        <v>4</v>
      </c>
      <c r="L165" s="26">
        <v>1E-4</v>
      </c>
      <c r="M165" s="26">
        <v>2.9999999999999997E-4</v>
      </c>
      <c r="N165" s="27">
        <v>30</v>
      </c>
      <c r="O165" s="34">
        <f t="shared" si="2"/>
        <v>1.1999999999999999E-2</v>
      </c>
    </row>
    <row r="166" spans="8:15" ht="14.25" customHeight="1">
      <c r="H166" s="1">
        <v>163</v>
      </c>
      <c r="I166" s="2" t="s">
        <v>300</v>
      </c>
      <c r="J166" s="33" t="s">
        <v>301</v>
      </c>
      <c r="K166" s="33" t="s">
        <v>4</v>
      </c>
      <c r="L166" s="26">
        <v>1E-4</v>
      </c>
      <c r="M166" s="26">
        <v>2.9999999999999997E-4</v>
      </c>
      <c r="N166" s="27">
        <f>N164*D35</f>
        <v>150</v>
      </c>
      <c r="O166" s="34">
        <f t="shared" si="2"/>
        <v>0.06</v>
      </c>
    </row>
    <row r="167" spans="8:15" ht="14.25" customHeight="1">
      <c r="H167" s="1">
        <v>164</v>
      </c>
      <c r="I167" s="2" t="s">
        <v>302</v>
      </c>
      <c r="J167" s="33" t="s">
        <v>303</v>
      </c>
      <c r="K167" s="33" t="s">
        <v>4</v>
      </c>
      <c r="L167" s="26">
        <v>1E-4</v>
      </c>
      <c r="M167" s="26">
        <v>2.0000000000000001E-4</v>
      </c>
      <c r="N167" s="27">
        <f>D33</f>
        <v>3000</v>
      </c>
      <c r="O167" s="34">
        <f t="shared" si="2"/>
        <v>0.90000000000000013</v>
      </c>
    </row>
    <row r="168" spans="8:15" ht="14.25" customHeight="1">
      <c r="H168" s="1">
        <v>165</v>
      </c>
      <c r="I168" s="2" t="s">
        <v>436</v>
      </c>
      <c r="J168" s="33" t="s">
        <v>304</v>
      </c>
      <c r="K168" s="33" t="s">
        <v>4</v>
      </c>
      <c r="L168" s="26">
        <v>1E-4</v>
      </c>
      <c r="M168" s="26">
        <v>2.0000000000000001E-4</v>
      </c>
      <c r="N168" s="27">
        <v>20</v>
      </c>
      <c r="O168" s="34">
        <f t="shared" si="2"/>
        <v>6.0000000000000001E-3</v>
      </c>
    </row>
    <row r="169" spans="8:15" ht="14.25" customHeight="1">
      <c r="H169" s="1">
        <v>166</v>
      </c>
      <c r="I169" s="2" t="s">
        <v>305</v>
      </c>
      <c r="J169" s="33" t="s">
        <v>306</v>
      </c>
      <c r="K169" s="33" t="s">
        <v>4</v>
      </c>
      <c r="L169" s="26">
        <v>1E-4</v>
      </c>
      <c r="M169" s="26">
        <v>2.0000000000000001E-4</v>
      </c>
      <c r="N169" s="27">
        <f>N168</f>
        <v>20</v>
      </c>
      <c r="O169" s="34">
        <f t="shared" si="2"/>
        <v>6.0000000000000001E-3</v>
      </c>
    </row>
    <row r="170" spans="8:15" ht="14.25" customHeight="1">
      <c r="H170" s="1">
        <v>167</v>
      </c>
      <c r="I170" s="2" t="s">
        <v>307</v>
      </c>
      <c r="J170" s="33" t="s">
        <v>308</v>
      </c>
      <c r="K170" s="33" t="s">
        <v>4</v>
      </c>
      <c r="L170" s="26">
        <v>1E-4</v>
      </c>
      <c r="M170" s="26">
        <v>1E-4</v>
      </c>
      <c r="N170" s="27">
        <v>20</v>
      </c>
      <c r="O170" s="34">
        <f t="shared" si="2"/>
        <v>4.0000000000000001E-3</v>
      </c>
    </row>
    <row r="171" spans="8:15" ht="14.25" customHeight="1">
      <c r="H171" s="1">
        <v>168</v>
      </c>
      <c r="I171" s="2" t="s">
        <v>309</v>
      </c>
      <c r="J171" s="33" t="s">
        <v>310</v>
      </c>
      <c r="K171" s="33" t="s">
        <v>4</v>
      </c>
      <c r="L171" s="26">
        <v>1E-4</v>
      </c>
      <c r="M171" s="26">
        <v>2.9999999999999997E-4</v>
      </c>
      <c r="N171" s="27">
        <f>N168*12*D19</f>
        <v>2400</v>
      </c>
      <c r="O171" s="34">
        <f t="shared" si="2"/>
        <v>0.96</v>
      </c>
    </row>
    <row r="172" spans="8:15" ht="14.25" customHeight="1">
      <c r="H172" s="1">
        <v>169</v>
      </c>
      <c r="I172" s="2" t="s">
        <v>392</v>
      </c>
      <c r="J172" s="33" t="s">
        <v>311</v>
      </c>
      <c r="K172" s="33" t="s">
        <v>4</v>
      </c>
      <c r="L172" s="26">
        <v>1E-4</v>
      </c>
      <c r="M172" s="26">
        <v>2.0000000000000001E-4</v>
      </c>
      <c r="N172" s="27">
        <f>N120</f>
        <v>5096000</v>
      </c>
      <c r="O172" s="34">
        <f t="shared" si="2"/>
        <v>1528.8000000000002</v>
      </c>
    </row>
    <row r="173" spans="8:15" ht="14.25" customHeight="1">
      <c r="H173" s="1">
        <v>170</v>
      </c>
      <c r="I173" s="2" t="s">
        <v>312</v>
      </c>
      <c r="J173" s="33" t="s">
        <v>313</v>
      </c>
      <c r="K173" s="33" t="s">
        <v>4</v>
      </c>
      <c r="L173" s="26">
        <v>1E-4</v>
      </c>
      <c r="M173" s="26">
        <v>2.0000000000000001E-4</v>
      </c>
      <c r="N173" s="27">
        <f>N133</f>
        <v>8000</v>
      </c>
      <c r="O173" s="34">
        <f t="shared" si="2"/>
        <v>2.4000000000000004</v>
      </c>
    </row>
    <row r="174" spans="8:15" ht="14.25" customHeight="1">
      <c r="H174" s="1">
        <v>171</v>
      </c>
      <c r="I174" s="2" t="s">
        <v>314</v>
      </c>
      <c r="J174" s="33" t="s">
        <v>315</v>
      </c>
      <c r="K174" s="33" t="s">
        <v>4</v>
      </c>
      <c r="L174" s="26">
        <v>1E-4</v>
      </c>
      <c r="M174" s="26">
        <v>2.9999999999999997E-4</v>
      </c>
      <c r="N174" s="27">
        <f>D46</f>
        <v>5000</v>
      </c>
      <c r="O174" s="34">
        <f t="shared" si="2"/>
        <v>1.9999999999999998</v>
      </c>
    </row>
    <row r="175" spans="8:15" ht="14.25" customHeight="1">
      <c r="H175" s="1">
        <v>172</v>
      </c>
      <c r="I175" s="2" t="s">
        <v>316</v>
      </c>
      <c r="J175" s="33" t="s">
        <v>317</v>
      </c>
      <c r="K175" s="33" t="s">
        <v>4</v>
      </c>
      <c r="L175" s="26">
        <v>1E-4</v>
      </c>
      <c r="M175" s="26">
        <v>2.0000000000000001E-4</v>
      </c>
      <c r="N175" s="27">
        <f>D46</f>
        <v>5000</v>
      </c>
      <c r="O175" s="34">
        <f t="shared" si="2"/>
        <v>1.5000000000000002</v>
      </c>
    </row>
    <row r="176" spans="8:15" ht="14.25" customHeight="1">
      <c r="H176" s="1">
        <v>173</v>
      </c>
      <c r="I176" s="2" t="s">
        <v>318</v>
      </c>
      <c r="J176" s="33" t="s">
        <v>319</v>
      </c>
      <c r="K176" s="33" t="s">
        <v>4</v>
      </c>
      <c r="L176" s="26">
        <v>1E-4</v>
      </c>
      <c r="M176" s="26">
        <v>2.0000000000000001E-4</v>
      </c>
      <c r="N176" s="27">
        <v>2600</v>
      </c>
      <c r="O176" s="34">
        <f t="shared" si="2"/>
        <v>0.78</v>
      </c>
    </row>
    <row r="177" spans="8:15" ht="14.25" customHeight="1">
      <c r="H177" s="1">
        <v>174</v>
      </c>
      <c r="I177" s="2" t="s">
        <v>320</v>
      </c>
      <c r="J177" s="33" t="s">
        <v>321</v>
      </c>
      <c r="K177" s="33" t="s">
        <v>4</v>
      </c>
      <c r="L177" s="26">
        <v>1E-4</v>
      </c>
      <c r="M177" s="26">
        <v>1E-4</v>
      </c>
      <c r="N177" s="27">
        <v>10</v>
      </c>
      <c r="O177" s="34">
        <f t="shared" si="2"/>
        <v>2E-3</v>
      </c>
    </row>
    <row r="178" spans="8:15" ht="14.25" customHeight="1">
      <c r="H178" s="1">
        <v>175</v>
      </c>
      <c r="I178" s="2" t="s">
        <v>1148</v>
      </c>
      <c r="J178" s="33" t="s">
        <v>322</v>
      </c>
      <c r="K178" s="33" t="s">
        <v>4</v>
      </c>
      <c r="L178" s="26">
        <v>1E-4</v>
      </c>
      <c r="M178" s="26">
        <v>4.0000000000000002E-4</v>
      </c>
      <c r="N178" s="27">
        <f>D49*12*D19</f>
        <v>540000</v>
      </c>
      <c r="O178" s="34">
        <f t="shared" si="2"/>
        <v>270</v>
      </c>
    </row>
    <row r="179" spans="8:15" ht="14.25" customHeight="1">
      <c r="H179" s="1">
        <v>176</v>
      </c>
      <c r="I179" s="2" t="s">
        <v>323</v>
      </c>
      <c r="J179" s="33" t="s">
        <v>324</v>
      </c>
      <c r="K179" s="33" t="s">
        <v>4</v>
      </c>
      <c r="L179" s="26">
        <v>1E-4</v>
      </c>
      <c r="M179" s="26">
        <v>4.0000000000000002E-4</v>
      </c>
      <c r="N179" s="27">
        <f>N178</f>
        <v>540000</v>
      </c>
      <c r="O179" s="34">
        <f t="shared" si="2"/>
        <v>270</v>
      </c>
    </row>
    <row r="180" spans="8:15" ht="14.25" customHeight="1">
      <c r="H180" s="1">
        <v>177</v>
      </c>
      <c r="I180" s="2" t="s">
        <v>325</v>
      </c>
      <c r="J180" s="33" t="s">
        <v>326</v>
      </c>
      <c r="K180" s="33" t="s">
        <v>4</v>
      </c>
      <c r="L180" s="26">
        <v>1E-4</v>
      </c>
      <c r="M180" s="26">
        <v>2.0000000000000001E-4</v>
      </c>
      <c r="N180" s="27">
        <v>10</v>
      </c>
      <c r="O180" s="34">
        <f t="shared" si="2"/>
        <v>3.0000000000000001E-3</v>
      </c>
    </row>
    <row r="181" spans="8:15" ht="14.25" customHeight="1">
      <c r="H181" s="1">
        <v>178</v>
      </c>
      <c r="I181" s="2" t="s">
        <v>327</v>
      </c>
      <c r="J181" s="33" t="s">
        <v>328</v>
      </c>
      <c r="K181" s="33" t="s">
        <v>4</v>
      </c>
      <c r="L181" s="26">
        <v>1E-4</v>
      </c>
      <c r="M181" s="26">
        <v>2.0000000000000001E-4</v>
      </c>
      <c r="N181" s="27">
        <f>D47*12*D19</f>
        <v>1200000</v>
      </c>
      <c r="O181" s="34">
        <f t="shared" si="2"/>
        <v>360.00000000000006</v>
      </c>
    </row>
    <row r="182" spans="8:15" ht="14.25" customHeight="1">
      <c r="H182" s="1">
        <v>179</v>
      </c>
      <c r="I182" s="2" t="s">
        <v>329</v>
      </c>
      <c r="J182" s="33" t="s">
        <v>330</v>
      </c>
      <c r="K182" s="33" t="s">
        <v>4</v>
      </c>
      <c r="L182" s="26">
        <v>1E-4</v>
      </c>
      <c r="M182" s="26">
        <v>2.0000000000000001E-4</v>
      </c>
      <c r="N182" s="27">
        <f>D8</f>
        <v>150</v>
      </c>
      <c r="O182" s="34">
        <f t="shared" si="2"/>
        <v>4.5000000000000005E-2</v>
      </c>
    </row>
    <row r="183" spans="8:15" ht="14.25" customHeight="1">
      <c r="H183" s="1">
        <v>180</v>
      </c>
      <c r="I183" s="2" t="s">
        <v>331</v>
      </c>
      <c r="J183" s="33" t="s">
        <v>332</v>
      </c>
      <c r="K183" s="33" t="s">
        <v>4</v>
      </c>
      <c r="L183" s="26">
        <v>1E-4</v>
      </c>
      <c r="M183" s="26">
        <v>1E-4</v>
      </c>
      <c r="N183" s="27">
        <f>D21/5</f>
        <v>20</v>
      </c>
      <c r="O183" s="34">
        <f t="shared" si="2"/>
        <v>4.0000000000000001E-3</v>
      </c>
    </row>
    <row r="184" spans="8:15" ht="14.25" customHeight="1">
      <c r="H184" s="1">
        <v>181</v>
      </c>
      <c r="I184" s="2" t="s">
        <v>333</v>
      </c>
      <c r="J184" s="33" t="s">
        <v>334</v>
      </c>
      <c r="K184" s="33" t="s">
        <v>4</v>
      </c>
      <c r="L184" s="26">
        <v>1E-4</v>
      </c>
      <c r="M184" s="26">
        <v>1E-4</v>
      </c>
      <c r="N184" s="27">
        <f>D21</f>
        <v>100</v>
      </c>
      <c r="O184" s="34">
        <f t="shared" si="2"/>
        <v>0.02</v>
      </c>
    </row>
    <row r="185" spans="8:15" ht="14.25" customHeight="1">
      <c r="H185" s="1">
        <v>182</v>
      </c>
      <c r="I185" s="2" t="s">
        <v>335</v>
      </c>
      <c r="J185" s="33" t="s">
        <v>336</v>
      </c>
      <c r="K185" s="33" t="s">
        <v>4</v>
      </c>
      <c r="L185" s="26">
        <v>1E-4</v>
      </c>
      <c r="M185" s="26">
        <v>1E-4</v>
      </c>
      <c r="N185" s="27">
        <f>D10*N186</f>
        <v>250</v>
      </c>
      <c r="O185" s="34">
        <f t="shared" si="2"/>
        <v>0.05</v>
      </c>
    </row>
    <row r="186" spans="8:15" ht="14.25" customHeight="1">
      <c r="H186" s="1">
        <v>183</v>
      </c>
      <c r="I186" s="2" t="s">
        <v>606</v>
      </c>
      <c r="J186" s="33" t="s">
        <v>337</v>
      </c>
      <c r="K186" s="33" t="s">
        <v>4</v>
      </c>
      <c r="L186" s="26">
        <v>1E-4</v>
      </c>
      <c r="M186" s="26">
        <v>1E-4</v>
      </c>
      <c r="N186" s="27">
        <v>5</v>
      </c>
      <c r="O186" s="34">
        <f t="shared" si="2"/>
        <v>1E-3</v>
      </c>
    </row>
    <row r="187" spans="8:15" ht="14.25" customHeight="1">
      <c r="H187" s="1">
        <v>184</v>
      </c>
      <c r="I187" s="2" t="s">
        <v>607</v>
      </c>
      <c r="J187" s="33" t="s">
        <v>389</v>
      </c>
      <c r="K187" s="33" t="s">
        <v>4</v>
      </c>
      <c r="L187" s="26">
        <v>1E-4</v>
      </c>
      <c r="M187" s="26">
        <v>4.0000000000000002E-4</v>
      </c>
      <c r="N187" s="27">
        <f>D21</f>
        <v>100</v>
      </c>
      <c r="O187" s="34">
        <f t="shared" si="2"/>
        <v>0.05</v>
      </c>
    </row>
    <row r="188" spans="8:15" ht="14.25" customHeight="1">
      <c r="H188" s="1">
        <v>185</v>
      </c>
      <c r="I188" s="2" t="s">
        <v>338</v>
      </c>
      <c r="J188" s="33" t="s">
        <v>339</v>
      </c>
      <c r="K188" s="33" t="s">
        <v>4</v>
      </c>
      <c r="L188" s="26">
        <v>1E-4</v>
      </c>
      <c r="M188" s="26">
        <v>1E-4</v>
      </c>
      <c r="N188" s="27">
        <f>D21/10</f>
        <v>10</v>
      </c>
      <c r="O188" s="34">
        <f t="shared" si="2"/>
        <v>2E-3</v>
      </c>
    </row>
    <row r="189" spans="8:15" ht="14.25" customHeight="1">
      <c r="H189" s="1">
        <v>186</v>
      </c>
      <c r="I189" s="2" t="s">
        <v>340</v>
      </c>
      <c r="J189" s="33" t="s">
        <v>341</v>
      </c>
      <c r="K189" s="33" t="s">
        <v>4</v>
      </c>
      <c r="L189" s="26">
        <v>1E-4</v>
      </c>
      <c r="M189" s="26">
        <v>1E-4</v>
      </c>
      <c r="N189" s="27">
        <f>D21/10</f>
        <v>10</v>
      </c>
      <c r="O189" s="34">
        <f t="shared" si="2"/>
        <v>2E-3</v>
      </c>
    </row>
    <row r="190" spans="8:15" ht="14.25" customHeight="1">
      <c r="H190" s="1">
        <v>187</v>
      </c>
      <c r="I190" s="2" t="s">
        <v>342</v>
      </c>
      <c r="J190" s="33" t="s">
        <v>343</v>
      </c>
      <c r="K190" s="33" t="s">
        <v>4</v>
      </c>
      <c r="L190" s="26">
        <v>1E-4</v>
      </c>
      <c r="M190" s="26">
        <v>2.0000000000000001E-4</v>
      </c>
      <c r="N190" s="27">
        <f>N187*9</f>
        <v>900</v>
      </c>
      <c r="O190" s="34">
        <f t="shared" si="2"/>
        <v>0.27</v>
      </c>
    </row>
    <row r="191" spans="8:15" ht="14.25" customHeight="1">
      <c r="H191" s="1">
        <v>188</v>
      </c>
      <c r="I191" s="2" t="s">
        <v>344</v>
      </c>
      <c r="J191" s="33" t="s">
        <v>345</v>
      </c>
      <c r="K191" s="33" t="s">
        <v>4</v>
      </c>
      <c r="L191" s="26">
        <v>1E-4</v>
      </c>
      <c r="M191" s="26">
        <v>2.0000000000000001E-4</v>
      </c>
      <c r="N191" s="27">
        <f>D21*10</f>
        <v>1000</v>
      </c>
      <c r="O191" s="34">
        <f t="shared" si="2"/>
        <v>0.30000000000000004</v>
      </c>
    </row>
    <row r="192" spans="8:15" ht="14.25" customHeight="1">
      <c r="H192" s="1">
        <v>189</v>
      </c>
      <c r="I192" s="2" t="s">
        <v>346</v>
      </c>
      <c r="J192" s="33" t="s">
        <v>347</v>
      </c>
      <c r="K192" s="33" t="s">
        <v>4</v>
      </c>
      <c r="L192" s="26">
        <v>1E-4</v>
      </c>
      <c r="M192" s="26">
        <v>2.0000000000000001E-4</v>
      </c>
      <c r="N192" s="27">
        <f>D21*10</f>
        <v>1000</v>
      </c>
      <c r="O192" s="34">
        <f t="shared" si="2"/>
        <v>0.30000000000000004</v>
      </c>
    </row>
    <row r="193" spans="8:15" ht="14.25" customHeight="1">
      <c r="H193" s="1">
        <v>190</v>
      </c>
      <c r="I193" s="2" t="s">
        <v>348</v>
      </c>
      <c r="J193" s="33" t="s">
        <v>349</v>
      </c>
      <c r="K193" s="33" t="s">
        <v>4</v>
      </c>
      <c r="L193" s="26">
        <v>1E-4</v>
      </c>
      <c r="M193" s="26">
        <v>2.0000000000000001E-4</v>
      </c>
      <c r="N193" s="27">
        <v>0</v>
      </c>
      <c r="O193" s="34">
        <f t="shared" si="2"/>
        <v>0</v>
      </c>
    </row>
    <row r="194" spans="8:15" ht="14.25" customHeight="1">
      <c r="H194" s="1">
        <v>191</v>
      </c>
      <c r="I194" s="2" t="s">
        <v>350</v>
      </c>
      <c r="J194" s="33" t="s">
        <v>351</v>
      </c>
      <c r="K194" s="33" t="s">
        <v>4</v>
      </c>
      <c r="L194" s="26">
        <v>1E-4</v>
      </c>
      <c r="M194" s="26">
        <v>2.0000000000000001E-4</v>
      </c>
      <c r="N194" s="27">
        <v>0</v>
      </c>
      <c r="O194" s="34">
        <f t="shared" si="2"/>
        <v>0</v>
      </c>
    </row>
    <row r="195" spans="8:15" ht="14.25" customHeight="1">
      <c r="H195" s="1">
        <v>192</v>
      </c>
      <c r="I195" s="2" t="s">
        <v>352</v>
      </c>
      <c r="J195" s="33" t="s">
        <v>353</v>
      </c>
      <c r="K195" s="33" t="s">
        <v>4</v>
      </c>
      <c r="L195" s="26">
        <v>1E-4</v>
      </c>
      <c r="M195" s="26">
        <v>1E-4</v>
      </c>
      <c r="N195" s="27">
        <f>D10</f>
        <v>50</v>
      </c>
      <c r="O195" s="34">
        <f t="shared" si="2"/>
        <v>0.01</v>
      </c>
    </row>
    <row r="196" spans="8:15" ht="14.25" customHeight="1">
      <c r="H196" s="1">
        <v>193</v>
      </c>
      <c r="I196" s="2" t="s">
        <v>608</v>
      </c>
      <c r="J196" s="33" t="s">
        <v>354</v>
      </c>
      <c r="K196" s="33" t="s">
        <v>4</v>
      </c>
      <c r="L196" s="26">
        <v>1E-4</v>
      </c>
      <c r="M196" s="26">
        <v>2.0000000000000001E-4</v>
      </c>
      <c r="N196" s="27">
        <f>D9*D8</f>
        <v>750</v>
      </c>
      <c r="O196" s="34">
        <f t="shared" si="2"/>
        <v>0.22500000000000003</v>
      </c>
    </row>
    <row r="197" spans="8:15" ht="14.25" customHeight="1">
      <c r="H197" s="1">
        <v>194</v>
      </c>
      <c r="I197" s="2" t="s">
        <v>355</v>
      </c>
      <c r="J197" s="33" t="s">
        <v>356</v>
      </c>
      <c r="K197" s="33" t="s">
        <v>4</v>
      </c>
      <c r="L197" s="26">
        <v>1E-4</v>
      </c>
      <c r="M197" s="26">
        <v>2.0000000000000001E-4</v>
      </c>
      <c r="N197" s="27">
        <f>N196</f>
        <v>750</v>
      </c>
      <c r="O197" s="34">
        <f t="shared" ref="O197:O260" si="3">(L197+M197)*N197</f>
        <v>0.22500000000000003</v>
      </c>
    </row>
    <row r="198" spans="8:15" ht="14.25" customHeight="1">
      <c r="H198" s="1">
        <v>195</v>
      </c>
      <c r="I198" s="2" t="s">
        <v>357</v>
      </c>
      <c r="J198" s="33" t="s">
        <v>358</v>
      </c>
      <c r="K198" s="33" t="s">
        <v>4</v>
      </c>
      <c r="L198" s="26">
        <v>1E-4</v>
      </c>
      <c r="M198" s="26">
        <v>2.0000000000000001E-4</v>
      </c>
      <c r="N198" s="27">
        <f>D8*2</f>
        <v>300</v>
      </c>
      <c r="O198" s="34">
        <f t="shared" si="3"/>
        <v>9.0000000000000011E-2</v>
      </c>
    </row>
    <row r="199" spans="8:15" ht="14.25" customHeight="1">
      <c r="H199" s="1">
        <v>196</v>
      </c>
      <c r="I199" s="2" t="s">
        <v>359</v>
      </c>
      <c r="J199" s="33" t="s">
        <v>360</v>
      </c>
      <c r="K199" s="33" t="s">
        <v>4</v>
      </c>
      <c r="L199" s="26">
        <v>1E-4</v>
      </c>
      <c r="M199" s="26">
        <v>2.0000000000000001E-4</v>
      </c>
      <c r="N199" s="27">
        <f>12*D20*D22*(D8/2)</f>
        <v>225000</v>
      </c>
      <c r="O199" s="34">
        <f t="shared" si="3"/>
        <v>67.5</v>
      </c>
    </row>
    <row r="200" spans="8:15" ht="14.25" customHeight="1">
      <c r="H200" s="1">
        <v>197</v>
      </c>
      <c r="I200" s="2" t="s">
        <v>361</v>
      </c>
      <c r="J200" s="33" t="s">
        <v>362</v>
      </c>
      <c r="K200" s="33" t="s">
        <v>4</v>
      </c>
      <c r="L200" s="26">
        <v>1E-4</v>
      </c>
      <c r="M200" s="26">
        <v>1E-4</v>
      </c>
      <c r="N200" s="27">
        <f>10*D20</f>
        <v>100</v>
      </c>
      <c r="O200" s="34">
        <f t="shared" si="3"/>
        <v>0.02</v>
      </c>
    </row>
    <row r="201" spans="8:15" ht="14.25" customHeight="1">
      <c r="H201" s="1">
        <v>198</v>
      </c>
      <c r="I201" s="2" t="s">
        <v>402</v>
      </c>
      <c r="J201" s="33" t="s">
        <v>403</v>
      </c>
      <c r="K201" s="33" t="s">
        <v>4</v>
      </c>
      <c r="L201" s="26">
        <v>1E-4</v>
      </c>
      <c r="M201" s="26">
        <v>1E-4</v>
      </c>
      <c r="N201" s="27">
        <f>4*D20</f>
        <v>40</v>
      </c>
      <c r="O201" s="34">
        <f t="shared" si="3"/>
        <v>8.0000000000000002E-3</v>
      </c>
    </row>
    <row r="202" spans="8:15" ht="14.25" customHeight="1">
      <c r="H202" s="1">
        <v>199</v>
      </c>
      <c r="I202" s="2" t="s">
        <v>404</v>
      </c>
      <c r="J202" s="33" t="s">
        <v>405</v>
      </c>
      <c r="K202" s="33" t="s">
        <v>4</v>
      </c>
      <c r="L202" s="26">
        <v>1E-4</v>
      </c>
      <c r="M202" s="26">
        <v>1E-4</v>
      </c>
      <c r="N202" s="27">
        <f>N114</f>
        <v>3600000</v>
      </c>
      <c r="O202" s="34">
        <f t="shared" si="3"/>
        <v>720</v>
      </c>
    </row>
    <row r="203" spans="8:15" ht="14.25" customHeight="1">
      <c r="H203" s="1">
        <v>200</v>
      </c>
      <c r="I203" s="2" t="s">
        <v>406</v>
      </c>
      <c r="J203" s="33" t="s">
        <v>407</v>
      </c>
      <c r="K203" s="33" t="s">
        <v>4</v>
      </c>
      <c r="L203" s="26">
        <v>1E-4</v>
      </c>
      <c r="M203" s="26">
        <v>1E-4</v>
      </c>
      <c r="N203" s="27">
        <f>N132</f>
        <v>1020000</v>
      </c>
      <c r="O203" s="34">
        <f t="shared" si="3"/>
        <v>204</v>
      </c>
    </row>
    <row r="204" spans="8:15" ht="14.25" customHeight="1">
      <c r="H204" s="1">
        <v>201</v>
      </c>
      <c r="I204" s="2" t="s">
        <v>408</v>
      </c>
      <c r="J204" s="33" t="s">
        <v>409</v>
      </c>
      <c r="K204" s="33" t="s">
        <v>410</v>
      </c>
      <c r="L204" s="26">
        <v>1E-4</v>
      </c>
      <c r="M204" s="26">
        <v>1E-4</v>
      </c>
      <c r="N204" s="27">
        <f>D63+D66+D75+D78</f>
        <v>0</v>
      </c>
      <c r="O204" s="34">
        <f t="shared" si="3"/>
        <v>0</v>
      </c>
    </row>
    <row r="205" spans="8:15" ht="14.25" customHeight="1">
      <c r="H205" s="1">
        <v>202</v>
      </c>
      <c r="I205" s="2" t="s">
        <v>411</v>
      </c>
      <c r="J205" s="33" t="s">
        <v>412</v>
      </c>
      <c r="K205" s="33" t="s">
        <v>410</v>
      </c>
      <c r="L205" s="26">
        <v>1E-4</v>
      </c>
      <c r="M205" s="26">
        <v>1E-4</v>
      </c>
      <c r="N205" s="27">
        <v>50</v>
      </c>
      <c r="O205" s="34">
        <f t="shared" si="3"/>
        <v>0.01</v>
      </c>
    </row>
    <row r="206" spans="8:15" ht="14.25" customHeight="1">
      <c r="H206" s="1">
        <v>203</v>
      </c>
      <c r="I206" s="2" t="s">
        <v>646</v>
      </c>
      <c r="J206" s="33" t="s">
        <v>413</v>
      </c>
      <c r="K206" s="33" t="s">
        <v>410</v>
      </c>
      <c r="L206" s="26">
        <v>0</v>
      </c>
      <c r="M206" s="26">
        <v>0</v>
      </c>
      <c r="N206" s="27">
        <v>0</v>
      </c>
      <c r="O206" s="34">
        <f t="shared" si="3"/>
        <v>0</v>
      </c>
    </row>
    <row r="207" spans="8:15" ht="14.25" customHeight="1">
      <c r="H207" s="1">
        <v>204</v>
      </c>
      <c r="I207" s="2" t="s">
        <v>415</v>
      </c>
      <c r="J207" s="33" t="s">
        <v>414</v>
      </c>
      <c r="K207" s="33" t="s">
        <v>4</v>
      </c>
      <c r="L207" s="26">
        <v>1E-4</v>
      </c>
      <c r="M207" s="26">
        <v>1E-4</v>
      </c>
      <c r="N207" s="27">
        <v>4</v>
      </c>
      <c r="O207" s="34">
        <f t="shared" si="3"/>
        <v>8.0000000000000004E-4</v>
      </c>
    </row>
    <row r="208" spans="8:15" ht="14.25" customHeight="1">
      <c r="H208" s="1">
        <v>205</v>
      </c>
      <c r="I208" s="2" t="s">
        <v>416</v>
      </c>
      <c r="J208" s="33" t="s">
        <v>417</v>
      </c>
      <c r="K208" s="33" t="s">
        <v>4</v>
      </c>
      <c r="L208" s="26">
        <v>1E-4</v>
      </c>
      <c r="M208" s="26">
        <v>1E-4</v>
      </c>
      <c r="N208" s="27">
        <f>D8*0.05*12*D19</f>
        <v>900</v>
      </c>
      <c r="O208" s="34">
        <f t="shared" si="3"/>
        <v>0.18000000000000002</v>
      </c>
    </row>
    <row r="209" spans="8:15" ht="14.25" customHeight="1">
      <c r="H209" s="1">
        <v>206</v>
      </c>
      <c r="I209" s="2" t="s">
        <v>418</v>
      </c>
      <c r="J209" s="33" t="s">
        <v>419</v>
      </c>
      <c r="K209" s="33" t="s">
        <v>4</v>
      </c>
      <c r="L209" s="26">
        <v>1E-4</v>
      </c>
      <c r="M209" s="26">
        <v>1E-4</v>
      </c>
      <c r="N209" s="27">
        <v>0</v>
      </c>
      <c r="O209" s="34">
        <f t="shared" si="3"/>
        <v>0</v>
      </c>
    </row>
    <row r="210" spans="8:15" ht="14.25" customHeight="1">
      <c r="H210" s="1">
        <v>207</v>
      </c>
      <c r="I210" s="2" t="s">
        <v>420</v>
      </c>
      <c r="J210" s="33" t="s">
        <v>421</v>
      </c>
      <c r="K210" s="33" t="s">
        <v>4</v>
      </c>
      <c r="L210" s="26">
        <v>1E-4</v>
      </c>
      <c r="M210" s="26">
        <v>1E-4</v>
      </c>
      <c r="N210" s="27">
        <v>0</v>
      </c>
      <c r="O210" s="34">
        <f t="shared" si="3"/>
        <v>0</v>
      </c>
    </row>
    <row r="211" spans="8:15" ht="14.25" customHeight="1">
      <c r="H211" s="1">
        <v>208</v>
      </c>
      <c r="I211" s="2" t="s">
        <v>422</v>
      </c>
      <c r="J211" s="33" t="s">
        <v>423</v>
      </c>
      <c r="K211" s="33" t="s">
        <v>410</v>
      </c>
      <c r="L211" s="26">
        <v>1E-4</v>
      </c>
      <c r="M211" s="26">
        <v>1E-4</v>
      </c>
      <c r="N211" s="27">
        <v>0</v>
      </c>
      <c r="O211" s="34">
        <f t="shared" si="3"/>
        <v>0</v>
      </c>
    </row>
    <row r="212" spans="8:15" ht="14.25" customHeight="1">
      <c r="H212" s="1">
        <v>209</v>
      </c>
      <c r="I212" s="2" t="s">
        <v>424</v>
      </c>
      <c r="J212" s="33" t="s">
        <v>425</v>
      </c>
      <c r="K212" s="33" t="s">
        <v>410</v>
      </c>
      <c r="L212" s="26">
        <v>1E-4</v>
      </c>
      <c r="M212" s="26">
        <v>1E-4</v>
      </c>
      <c r="N212" s="27">
        <v>6000</v>
      </c>
      <c r="O212" s="34">
        <f t="shared" si="3"/>
        <v>1.2</v>
      </c>
    </row>
    <row r="213" spans="8:15" ht="14.25" customHeight="1">
      <c r="H213" s="1">
        <v>210</v>
      </c>
      <c r="I213" s="2" t="s">
        <v>426</v>
      </c>
      <c r="J213" s="33" t="s">
        <v>427</v>
      </c>
      <c r="K213" s="33" t="s">
        <v>410</v>
      </c>
      <c r="L213" s="26">
        <v>1E-4</v>
      </c>
      <c r="M213" s="26">
        <v>1E-4</v>
      </c>
      <c r="N213" s="27">
        <v>70</v>
      </c>
      <c r="O213" s="34">
        <f t="shared" si="3"/>
        <v>1.4E-2</v>
      </c>
    </row>
    <row r="214" spans="8:15" ht="14.25" customHeight="1">
      <c r="H214" s="1">
        <v>211</v>
      </c>
      <c r="I214" s="2" t="s">
        <v>428</v>
      </c>
      <c r="J214" s="33" t="s">
        <v>429</v>
      </c>
      <c r="K214" s="33" t="s">
        <v>4</v>
      </c>
      <c r="L214" s="26">
        <v>1E-4</v>
      </c>
      <c r="M214" s="26">
        <v>1E-4</v>
      </c>
      <c r="N214" s="27">
        <v>20</v>
      </c>
      <c r="O214" s="34">
        <f t="shared" si="3"/>
        <v>4.0000000000000001E-3</v>
      </c>
    </row>
    <row r="215" spans="8:15" ht="14.25" customHeight="1">
      <c r="H215" s="35">
        <v>212</v>
      </c>
      <c r="I215" s="36" t="s">
        <v>567</v>
      </c>
      <c r="J215" s="37" t="s">
        <v>568</v>
      </c>
      <c r="K215" s="37" t="s">
        <v>561</v>
      </c>
      <c r="L215" s="32">
        <v>1E-4</v>
      </c>
      <c r="M215" s="32">
        <v>1E-4</v>
      </c>
      <c r="N215" s="31">
        <v>50</v>
      </c>
      <c r="O215" s="34">
        <f t="shared" si="3"/>
        <v>0.01</v>
      </c>
    </row>
    <row r="216" spans="8:15" ht="14.25" customHeight="1">
      <c r="H216" s="35">
        <v>213</v>
      </c>
      <c r="I216" s="36" t="s">
        <v>564</v>
      </c>
      <c r="J216" s="37" t="s">
        <v>442</v>
      </c>
      <c r="K216" s="37" t="s">
        <v>561</v>
      </c>
      <c r="L216" s="32">
        <v>1E-4</v>
      </c>
      <c r="M216" s="32">
        <v>1E-4</v>
      </c>
      <c r="N216" s="27">
        <f>D8*0.05*12*D19</f>
        <v>900</v>
      </c>
      <c r="O216" s="34">
        <f t="shared" si="3"/>
        <v>0.18000000000000002</v>
      </c>
    </row>
    <row r="217" spans="8:15" ht="14.25" customHeight="1">
      <c r="H217" s="35">
        <v>214</v>
      </c>
      <c r="I217" s="36" t="s">
        <v>615</v>
      </c>
      <c r="J217" s="37" t="s">
        <v>569</v>
      </c>
      <c r="K217" s="37" t="s">
        <v>561</v>
      </c>
      <c r="L217" s="32">
        <v>1E-4</v>
      </c>
      <c r="M217" s="32">
        <v>2.0000000000000001E-4</v>
      </c>
      <c r="N217" s="31">
        <f>D8*0.05*12*D19</f>
        <v>900</v>
      </c>
      <c r="O217" s="34">
        <f t="shared" si="3"/>
        <v>0.27</v>
      </c>
    </row>
    <row r="218" spans="8:15" ht="14.25" customHeight="1">
      <c r="H218" s="35">
        <v>215</v>
      </c>
      <c r="I218" s="36" t="s">
        <v>565</v>
      </c>
      <c r="J218" s="37" t="s">
        <v>443</v>
      </c>
      <c r="K218" s="37" t="s">
        <v>561</v>
      </c>
      <c r="L218" s="32">
        <v>1E-4</v>
      </c>
      <c r="M218" s="32">
        <v>1E-4</v>
      </c>
      <c r="N218" s="31">
        <v>5</v>
      </c>
      <c r="O218" s="34">
        <f t="shared" si="3"/>
        <v>1E-3</v>
      </c>
    </row>
    <row r="219" spans="8:15" ht="14.25" customHeight="1">
      <c r="H219" s="35">
        <v>216</v>
      </c>
      <c r="I219" s="36" t="s">
        <v>444</v>
      </c>
      <c r="J219" s="37" t="s">
        <v>571</v>
      </c>
      <c r="K219" s="37" t="s">
        <v>561</v>
      </c>
      <c r="L219" s="32">
        <v>1E-4</v>
      </c>
      <c r="M219" s="32">
        <v>1E-4</v>
      </c>
      <c r="N219" s="31">
        <f>D33+D46</f>
        <v>8000</v>
      </c>
      <c r="O219" s="34">
        <f t="shared" si="3"/>
        <v>1.6</v>
      </c>
    </row>
    <row r="220" spans="8:15" ht="14.25" customHeight="1">
      <c r="H220" s="35">
        <v>217</v>
      </c>
      <c r="I220" s="36" t="s">
        <v>445</v>
      </c>
      <c r="J220" s="37" t="s">
        <v>446</v>
      </c>
      <c r="K220" s="37" t="s">
        <v>561</v>
      </c>
      <c r="L220" s="32">
        <v>1E-4</v>
      </c>
      <c r="M220" s="32">
        <v>1E-4</v>
      </c>
      <c r="N220" s="31">
        <v>0</v>
      </c>
      <c r="O220" s="34">
        <f t="shared" si="3"/>
        <v>0</v>
      </c>
    </row>
    <row r="221" spans="8:15" ht="14.25" customHeight="1">
      <c r="H221" s="35">
        <v>218</v>
      </c>
      <c r="I221" s="36" t="s">
        <v>447</v>
      </c>
      <c r="J221" s="37" t="s">
        <v>448</v>
      </c>
      <c r="K221" s="37" t="s">
        <v>561</v>
      </c>
      <c r="L221" s="32">
        <v>1E-4</v>
      </c>
      <c r="M221" s="32">
        <v>1E-4</v>
      </c>
      <c r="N221" s="31">
        <v>0</v>
      </c>
      <c r="O221" s="34">
        <f t="shared" si="3"/>
        <v>0</v>
      </c>
    </row>
    <row r="222" spans="8:15" ht="14.25" customHeight="1">
      <c r="H222" s="35">
        <v>219</v>
      </c>
      <c r="I222" s="36" t="s">
        <v>449</v>
      </c>
      <c r="J222" s="37" t="s">
        <v>450</v>
      </c>
      <c r="K222" s="37" t="s">
        <v>561</v>
      </c>
      <c r="L222" s="32">
        <v>1E-4</v>
      </c>
      <c r="M222" s="32">
        <v>1E-4</v>
      </c>
      <c r="N222" s="31">
        <v>0</v>
      </c>
      <c r="O222" s="34">
        <f t="shared" si="3"/>
        <v>0</v>
      </c>
    </row>
    <row r="223" spans="8:15" ht="14.25" customHeight="1">
      <c r="H223" s="35">
        <v>220</v>
      </c>
      <c r="I223" s="36" t="s">
        <v>451</v>
      </c>
      <c r="J223" s="37" t="s">
        <v>452</v>
      </c>
      <c r="K223" s="37" t="s">
        <v>561</v>
      </c>
      <c r="L223" s="32">
        <v>1E-4</v>
      </c>
      <c r="M223" s="32">
        <v>1E-4</v>
      </c>
      <c r="N223" s="31">
        <v>0</v>
      </c>
      <c r="O223" s="34">
        <f t="shared" si="3"/>
        <v>0</v>
      </c>
    </row>
    <row r="224" spans="8:15" ht="14.25" customHeight="1">
      <c r="H224" s="35">
        <v>221</v>
      </c>
      <c r="I224" s="36" t="s">
        <v>453</v>
      </c>
      <c r="J224" s="37" t="s">
        <v>572</v>
      </c>
      <c r="K224" s="37" t="s">
        <v>561</v>
      </c>
      <c r="L224" s="32">
        <v>1E-4</v>
      </c>
      <c r="M224" s="32">
        <v>2.9999999999999997E-4</v>
      </c>
      <c r="N224" s="31">
        <f>N120*0.05</f>
        <v>254800</v>
      </c>
      <c r="O224" s="34">
        <f t="shared" si="3"/>
        <v>101.91999999999999</v>
      </c>
    </row>
    <row r="225" spans="8:15" ht="14.25" customHeight="1">
      <c r="H225" s="35">
        <v>222</v>
      </c>
      <c r="I225" s="36" t="s">
        <v>454</v>
      </c>
      <c r="J225" s="37" t="s">
        <v>455</v>
      </c>
      <c r="K225" s="37" t="s">
        <v>561</v>
      </c>
      <c r="L225" s="32">
        <v>1E-4</v>
      </c>
      <c r="M225" s="32">
        <v>2.0000000000000001E-4</v>
      </c>
      <c r="N225" s="31">
        <f>N122*0.05</f>
        <v>1020000</v>
      </c>
      <c r="O225" s="34">
        <f t="shared" si="3"/>
        <v>306.00000000000006</v>
      </c>
    </row>
    <row r="226" spans="8:15" ht="14.25" customHeight="1">
      <c r="H226" s="35">
        <v>223</v>
      </c>
      <c r="I226" s="36" t="s">
        <v>573</v>
      </c>
      <c r="J226" s="37" t="s">
        <v>456</v>
      </c>
      <c r="K226" s="37" t="s">
        <v>561</v>
      </c>
      <c r="L226" s="32">
        <v>1E-4</v>
      </c>
      <c r="M226" s="32">
        <v>1E-4</v>
      </c>
      <c r="N226" s="31">
        <f>N168*10%</f>
        <v>2</v>
      </c>
      <c r="O226" s="34">
        <f t="shared" si="3"/>
        <v>4.0000000000000002E-4</v>
      </c>
    </row>
    <row r="227" spans="8:15" ht="14.25" customHeight="1">
      <c r="H227" s="35">
        <v>224</v>
      </c>
      <c r="I227" s="36" t="s">
        <v>457</v>
      </c>
      <c r="J227" s="37" t="s">
        <v>574</v>
      </c>
      <c r="K227" s="37" t="s">
        <v>561</v>
      </c>
      <c r="L227" s="32">
        <v>1E-4</v>
      </c>
      <c r="M227" s="32">
        <v>1E-4</v>
      </c>
      <c r="N227" s="31">
        <v>10</v>
      </c>
      <c r="O227" s="34">
        <f t="shared" si="3"/>
        <v>2E-3</v>
      </c>
    </row>
    <row r="228" spans="8:15" ht="14.25" customHeight="1">
      <c r="H228" s="35">
        <v>225</v>
      </c>
      <c r="I228" s="36" t="s">
        <v>458</v>
      </c>
      <c r="J228" s="37" t="s">
        <v>459</v>
      </c>
      <c r="K228" s="37" t="s">
        <v>561</v>
      </c>
      <c r="L228" s="32">
        <v>1E-4</v>
      </c>
      <c r="M228" s="32">
        <v>1E-4</v>
      </c>
      <c r="N228" s="31">
        <f>D47*12*D19</f>
        <v>1200000</v>
      </c>
      <c r="O228" s="34">
        <f t="shared" si="3"/>
        <v>240</v>
      </c>
    </row>
    <row r="229" spans="8:15" ht="14.25" customHeight="1">
      <c r="H229" s="35">
        <v>226</v>
      </c>
      <c r="I229" s="36" t="s">
        <v>460</v>
      </c>
      <c r="J229" s="37" t="s">
        <v>575</v>
      </c>
      <c r="K229" s="37" t="s">
        <v>561</v>
      </c>
      <c r="L229" s="32">
        <v>1E-4</v>
      </c>
      <c r="M229" s="32">
        <v>1E-4</v>
      </c>
      <c r="N229" s="31">
        <f>N120*0.05</f>
        <v>254800</v>
      </c>
      <c r="O229" s="34">
        <f t="shared" si="3"/>
        <v>50.96</v>
      </c>
    </row>
    <row r="230" spans="8:15" ht="14.25" customHeight="1">
      <c r="H230" s="35">
        <v>227</v>
      </c>
      <c r="I230" s="36" t="s">
        <v>461</v>
      </c>
      <c r="J230" s="37" t="s">
        <v>462</v>
      </c>
      <c r="K230" s="37" t="s">
        <v>561</v>
      </c>
      <c r="L230" s="32">
        <v>1E-4</v>
      </c>
      <c r="M230" s="32">
        <v>1E-4</v>
      </c>
      <c r="N230" s="31">
        <f>N122*0.05</f>
        <v>1020000</v>
      </c>
      <c r="O230" s="34">
        <f t="shared" si="3"/>
        <v>204</v>
      </c>
    </row>
    <row r="231" spans="8:15" ht="14.25" customHeight="1">
      <c r="H231" s="35">
        <v>228</v>
      </c>
      <c r="I231" s="36" t="s">
        <v>1150</v>
      </c>
      <c r="J231" s="37" t="s">
        <v>576</v>
      </c>
      <c r="K231" s="37" t="s">
        <v>561</v>
      </c>
      <c r="L231" s="32">
        <v>1E-4</v>
      </c>
      <c r="M231" s="32">
        <v>1E-4</v>
      </c>
      <c r="N231" s="31">
        <f>(D33+D46)*0.05</f>
        <v>400</v>
      </c>
      <c r="O231" s="34">
        <f t="shared" si="3"/>
        <v>0.08</v>
      </c>
    </row>
    <row r="232" spans="8:15" ht="14.25" customHeight="1">
      <c r="H232" s="35">
        <v>229</v>
      </c>
      <c r="I232" s="36" t="s">
        <v>1151</v>
      </c>
      <c r="J232" s="37" t="s">
        <v>463</v>
      </c>
      <c r="K232" s="37" t="s">
        <v>561</v>
      </c>
      <c r="L232" s="32">
        <v>1E-4</v>
      </c>
      <c r="M232" s="32">
        <v>1E-4</v>
      </c>
      <c r="N232" s="31">
        <f>N231/5</f>
        <v>80</v>
      </c>
      <c r="O232" s="34">
        <f t="shared" si="3"/>
        <v>1.6E-2</v>
      </c>
    </row>
    <row r="233" spans="8:15" ht="14.25" customHeight="1">
      <c r="H233" s="35">
        <v>230</v>
      </c>
      <c r="I233" s="36" t="s">
        <v>464</v>
      </c>
      <c r="J233" s="37" t="s">
        <v>465</v>
      </c>
      <c r="K233" s="37" t="s">
        <v>561</v>
      </c>
      <c r="L233" s="32">
        <v>1E-4</v>
      </c>
      <c r="M233" s="32">
        <v>1E-4</v>
      </c>
      <c r="N233" s="31">
        <f>N232</f>
        <v>80</v>
      </c>
      <c r="O233" s="34">
        <f t="shared" si="3"/>
        <v>1.6E-2</v>
      </c>
    </row>
    <row r="234" spans="8:15" ht="14.25" customHeight="1">
      <c r="H234" s="35">
        <v>231</v>
      </c>
      <c r="I234" s="36" t="s">
        <v>466</v>
      </c>
      <c r="J234" s="37" t="s">
        <v>467</v>
      </c>
      <c r="K234" s="37" t="s">
        <v>561</v>
      </c>
      <c r="L234" s="32">
        <v>1E-4</v>
      </c>
      <c r="M234" s="32">
        <v>1E-4</v>
      </c>
      <c r="N234" s="31">
        <v>3</v>
      </c>
      <c r="O234" s="34">
        <f t="shared" si="3"/>
        <v>6.0000000000000006E-4</v>
      </c>
    </row>
    <row r="235" spans="8:15" ht="14.25" customHeight="1">
      <c r="H235" s="35">
        <v>232</v>
      </c>
      <c r="I235" s="36" t="s">
        <v>468</v>
      </c>
      <c r="J235" s="37" t="s">
        <v>469</v>
      </c>
      <c r="K235" s="37" t="s">
        <v>561</v>
      </c>
      <c r="L235" s="32">
        <v>1E-4</v>
      </c>
      <c r="M235" s="32">
        <v>1E-4</v>
      </c>
      <c r="N235" s="31">
        <v>3</v>
      </c>
      <c r="O235" s="34">
        <f t="shared" si="3"/>
        <v>6.0000000000000006E-4</v>
      </c>
    </row>
    <row r="236" spans="8:15" ht="14.25" customHeight="1">
      <c r="H236" s="35">
        <v>233</v>
      </c>
      <c r="I236" s="36" t="s">
        <v>470</v>
      </c>
      <c r="J236" s="37" t="s">
        <v>578</v>
      </c>
      <c r="K236" s="37" t="s">
        <v>562</v>
      </c>
      <c r="L236" s="32">
        <v>1E-4</v>
      </c>
      <c r="M236" s="32">
        <v>1E-4</v>
      </c>
      <c r="N236" s="31">
        <f>N32</f>
        <v>10</v>
      </c>
      <c r="O236" s="34">
        <f t="shared" si="3"/>
        <v>2E-3</v>
      </c>
    </row>
    <row r="237" spans="8:15" ht="14.25" customHeight="1">
      <c r="H237" s="35">
        <v>234</v>
      </c>
      <c r="I237" s="36" t="s">
        <v>471</v>
      </c>
      <c r="J237" s="37" t="s">
        <v>472</v>
      </c>
      <c r="K237" s="37" t="s">
        <v>562</v>
      </c>
      <c r="L237" s="32">
        <v>1E-4</v>
      </c>
      <c r="M237" s="32">
        <v>1E-4</v>
      </c>
      <c r="N237" s="31">
        <f>N32*N83/5</f>
        <v>4000</v>
      </c>
      <c r="O237" s="34">
        <f t="shared" si="3"/>
        <v>0.8</v>
      </c>
    </row>
    <row r="238" spans="8:15" ht="14.25" customHeight="1">
      <c r="H238" s="35">
        <v>235</v>
      </c>
      <c r="I238" s="36" t="s">
        <v>473</v>
      </c>
      <c r="J238" s="37" t="s">
        <v>474</v>
      </c>
      <c r="K238" s="37" t="s">
        <v>561</v>
      </c>
      <c r="L238" s="32">
        <v>1E-4</v>
      </c>
      <c r="M238" s="32">
        <v>1E-4</v>
      </c>
      <c r="N238" s="31">
        <v>20</v>
      </c>
      <c r="O238" s="34">
        <f t="shared" si="3"/>
        <v>4.0000000000000001E-3</v>
      </c>
    </row>
    <row r="239" spans="8:15" ht="14.25" customHeight="1">
      <c r="H239" s="35">
        <v>236</v>
      </c>
      <c r="I239" s="36" t="s">
        <v>475</v>
      </c>
      <c r="J239" s="37" t="s">
        <v>581</v>
      </c>
      <c r="K239" s="37" t="s">
        <v>562</v>
      </c>
      <c r="L239" s="32">
        <v>1E-4</v>
      </c>
      <c r="M239" s="32">
        <v>1E-4</v>
      </c>
      <c r="N239" s="31">
        <v>4</v>
      </c>
      <c r="O239" s="34">
        <f t="shared" si="3"/>
        <v>8.0000000000000004E-4</v>
      </c>
    </row>
    <row r="240" spans="8:15" ht="14.25" customHeight="1">
      <c r="H240" s="35">
        <v>237</v>
      </c>
      <c r="I240" s="36" t="s">
        <v>476</v>
      </c>
      <c r="J240" s="37" t="s">
        <v>477</v>
      </c>
      <c r="K240" s="37" t="s">
        <v>562</v>
      </c>
      <c r="L240" s="32">
        <v>1E-4</v>
      </c>
      <c r="M240" s="32">
        <v>1E-4</v>
      </c>
      <c r="N240" s="31">
        <v>3</v>
      </c>
      <c r="O240" s="34">
        <f t="shared" si="3"/>
        <v>6.0000000000000006E-4</v>
      </c>
    </row>
    <row r="241" spans="8:15" ht="14.25" customHeight="1">
      <c r="H241" s="35">
        <v>238</v>
      </c>
      <c r="I241" s="36" t="s">
        <v>478</v>
      </c>
      <c r="J241" s="37" t="s">
        <v>582</v>
      </c>
      <c r="K241" s="37" t="s">
        <v>561</v>
      </c>
      <c r="L241" s="32">
        <v>1E-4</v>
      </c>
      <c r="M241" s="32">
        <v>1E-4</v>
      </c>
      <c r="N241" s="31">
        <v>20</v>
      </c>
      <c r="O241" s="34">
        <f t="shared" si="3"/>
        <v>4.0000000000000001E-3</v>
      </c>
    </row>
    <row r="242" spans="8:15" ht="14.25" customHeight="1">
      <c r="H242" s="35">
        <v>239</v>
      </c>
      <c r="I242" s="36" t="s">
        <v>479</v>
      </c>
      <c r="J242" s="37" t="s">
        <v>480</v>
      </c>
      <c r="K242" s="37" t="s">
        <v>561</v>
      </c>
      <c r="L242" s="32">
        <v>1E-4</v>
      </c>
      <c r="M242" s="32">
        <v>1E-4</v>
      </c>
      <c r="N242" s="31">
        <v>0</v>
      </c>
      <c r="O242" s="34">
        <f t="shared" si="3"/>
        <v>0</v>
      </c>
    </row>
    <row r="243" spans="8:15" ht="14.25" customHeight="1">
      <c r="H243" s="35">
        <v>240</v>
      </c>
      <c r="I243" s="36" t="s">
        <v>481</v>
      </c>
      <c r="J243" s="37" t="s">
        <v>482</v>
      </c>
      <c r="K243" s="37" t="s">
        <v>561</v>
      </c>
      <c r="L243" s="32">
        <v>1E-4</v>
      </c>
      <c r="M243" s="32">
        <v>1E-4</v>
      </c>
      <c r="N243" s="31">
        <v>0</v>
      </c>
      <c r="O243" s="34">
        <f t="shared" si="3"/>
        <v>0</v>
      </c>
    </row>
    <row r="244" spans="8:15" ht="14.25" customHeight="1">
      <c r="H244" s="35">
        <v>241</v>
      </c>
      <c r="I244" s="36" t="s">
        <v>483</v>
      </c>
      <c r="J244" s="37" t="s">
        <v>583</v>
      </c>
      <c r="K244" s="37" t="s">
        <v>561</v>
      </c>
      <c r="L244" s="32">
        <v>1E-4</v>
      </c>
      <c r="M244" s="32">
        <v>1E-4</v>
      </c>
      <c r="N244" s="31">
        <f>D34*0.01*12*D19</f>
        <v>3600</v>
      </c>
      <c r="O244" s="34">
        <f t="shared" si="3"/>
        <v>0.72000000000000008</v>
      </c>
    </row>
    <row r="245" spans="8:15" ht="14.25" customHeight="1">
      <c r="H245" s="35">
        <v>242</v>
      </c>
      <c r="I245" s="36" t="s">
        <v>484</v>
      </c>
      <c r="J245" s="37" t="s">
        <v>1305</v>
      </c>
      <c r="K245" s="37" t="s">
        <v>561</v>
      </c>
      <c r="L245" s="32">
        <v>1E-4</v>
      </c>
      <c r="M245" s="32">
        <v>1E-4</v>
      </c>
      <c r="N245" s="31">
        <f>D34*0.05*12*D19</f>
        <v>18000</v>
      </c>
      <c r="O245" s="34">
        <f t="shared" si="3"/>
        <v>3.6</v>
      </c>
    </row>
    <row r="246" spans="8:15" ht="14.25" customHeight="1">
      <c r="H246" s="35">
        <v>243</v>
      </c>
      <c r="I246" s="36" t="s">
        <v>485</v>
      </c>
      <c r="J246" s="37" t="s">
        <v>584</v>
      </c>
      <c r="K246" s="37" t="s">
        <v>561</v>
      </c>
      <c r="L246" s="32">
        <v>1E-4</v>
      </c>
      <c r="M246" s="32">
        <v>1E-4</v>
      </c>
      <c r="N246" s="31">
        <f>12*D19*D51</f>
        <v>0</v>
      </c>
      <c r="O246" s="34">
        <f t="shared" si="3"/>
        <v>0</v>
      </c>
    </row>
    <row r="247" spans="8:15" ht="14.25" customHeight="1">
      <c r="H247" s="35">
        <v>244</v>
      </c>
      <c r="I247" s="36" t="s">
        <v>486</v>
      </c>
      <c r="J247" s="37" t="s">
        <v>585</v>
      </c>
      <c r="K247" s="37" t="s">
        <v>561</v>
      </c>
      <c r="L247" s="32">
        <v>1E-4</v>
      </c>
      <c r="M247" s="32">
        <v>1E-4</v>
      </c>
      <c r="N247" s="31">
        <v>10</v>
      </c>
      <c r="O247" s="34">
        <f t="shared" si="3"/>
        <v>2E-3</v>
      </c>
    </row>
    <row r="248" spans="8:15" ht="14.25" customHeight="1">
      <c r="H248" s="35">
        <v>245</v>
      </c>
      <c r="I248" s="36" t="s">
        <v>563</v>
      </c>
      <c r="J248" s="37" t="s">
        <v>487</v>
      </c>
      <c r="K248" s="37" t="s">
        <v>561</v>
      </c>
      <c r="L248" s="32">
        <v>1E-4</v>
      </c>
      <c r="M248" s="32">
        <v>2.0000000000000001E-4</v>
      </c>
      <c r="N248" s="31">
        <f>D47*12*D19*D51</f>
        <v>0</v>
      </c>
      <c r="O248" s="34">
        <f t="shared" si="3"/>
        <v>0</v>
      </c>
    </row>
    <row r="249" spans="8:15" ht="14.25" customHeight="1">
      <c r="H249" s="35">
        <v>246</v>
      </c>
      <c r="I249" s="36" t="s">
        <v>488</v>
      </c>
      <c r="J249" s="37" t="s">
        <v>489</v>
      </c>
      <c r="K249" s="37" t="s">
        <v>561</v>
      </c>
      <c r="L249" s="32">
        <v>1E-4</v>
      </c>
      <c r="M249" s="32">
        <v>2.9999999999999997E-4</v>
      </c>
      <c r="N249" s="31">
        <f>N248*D48*D51</f>
        <v>0</v>
      </c>
      <c r="O249" s="34">
        <f t="shared" si="3"/>
        <v>0</v>
      </c>
    </row>
    <row r="250" spans="8:15" ht="14.25" customHeight="1">
      <c r="H250" s="35">
        <v>247</v>
      </c>
      <c r="I250" s="36" t="s">
        <v>490</v>
      </c>
      <c r="J250" s="37" t="s">
        <v>491</v>
      </c>
      <c r="K250" s="37" t="s">
        <v>561</v>
      </c>
      <c r="L250" s="32">
        <v>2.9999999999999997E-4</v>
      </c>
      <c r="M250" s="32">
        <v>2.0000000000000001E-4</v>
      </c>
      <c r="N250" s="31">
        <f>D46*12*D19*D51</f>
        <v>0</v>
      </c>
      <c r="O250" s="34">
        <f t="shared" si="3"/>
        <v>0</v>
      </c>
    </row>
    <row r="251" spans="8:15" ht="14.25" customHeight="1">
      <c r="H251" s="35">
        <v>248</v>
      </c>
      <c r="I251" s="36" t="s">
        <v>492</v>
      </c>
      <c r="J251" s="37" t="s">
        <v>493</v>
      </c>
      <c r="K251" s="37" t="s">
        <v>561</v>
      </c>
      <c r="L251" s="32">
        <v>1E-4</v>
      </c>
      <c r="M251" s="32">
        <v>1E-4</v>
      </c>
      <c r="N251" s="31">
        <v>0</v>
      </c>
      <c r="O251" s="34">
        <f t="shared" si="3"/>
        <v>0</v>
      </c>
    </row>
    <row r="252" spans="8:15" ht="14.25" customHeight="1">
      <c r="H252" s="35">
        <v>249</v>
      </c>
      <c r="I252" s="36" t="s">
        <v>494</v>
      </c>
      <c r="J252" s="37" t="s">
        <v>495</v>
      </c>
      <c r="K252" s="37" t="s">
        <v>561</v>
      </c>
      <c r="L252" s="32">
        <v>1E-4</v>
      </c>
      <c r="M252" s="32">
        <v>1E-4</v>
      </c>
      <c r="N252" s="31">
        <v>0</v>
      </c>
      <c r="O252" s="34">
        <f t="shared" si="3"/>
        <v>0</v>
      </c>
    </row>
    <row r="253" spans="8:15" ht="14.25" customHeight="1">
      <c r="H253" s="35">
        <v>250</v>
      </c>
      <c r="I253" s="36" t="s">
        <v>496</v>
      </c>
      <c r="J253" s="37" t="s">
        <v>497</v>
      </c>
      <c r="K253" s="37" t="s">
        <v>561</v>
      </c>
      <c r="L253" s="32">
        <v>1E-4</v>
      </c>
      <c r="M253" s="32">
        <v>1E-4</v>
      </c>
      <c r="N253" s="31">
        <v>0</v>
      </c>
      <c r="O253" s="34">
        <f t="shared" si="3"/>
        <v>0</v>
      </c>
    </row>
    <row r="254" spans="8:15" ht="14.25" customHeight="1">
      <c r="H254" s="35">
        <v>251</v>
      </c>
      <c r="I254" s="36" t="s">
        <v>498</v>
      </c>
      <c r="J254" s="37" t="s">
        <v>499</v>
      </c>
      <c r="K254" s="37" t="s">
        <v>561</v>
      </c>
      <c r="L254" s="32">
        <v>1E-4</v>
      </c>
      <c r="M254" s="32">
        <v>1E-4</v>
      </c>
      <c r="N254" s="31">
        <v>0</v>
      </c>
      <c r="O254" s="34">
        <f t="shared" si="3"/>
        <v>0</v>
      </c>
    </row>
    <row r="255" spans="8:15" ht="14.25" customHeight="1">
      <c r="H255" s="35">
        <v>252</v>
      </c>
      <c r="I255" s="36" t="s">
        <v>500</v>
      </c>
      <c r="J255" s="37" t="s">
        <v>501</v>
      </c>
      <c r="K255" s="37" t="s">
        <v>561</v>
      </c>
      <c r="L255" s="32">
        <v>1E-4</v>
      </c>
      <c r="M255" s="32">
        <v>1E-4</v>
      </c>
      <c r="N255" s="31">
        <v>0</v>
      </c>
      <c r="O255" s="34">
        <f t="shared" si="3"/>
        <v>0</v>
      </c>
    </row>
    <row r="256" spans="8:15" ht="14.25" customHeight="1">
      <c r="H256" s="35">
        <v>253</v>
      </c>
      <c r="I256" s="36" t="s">
        <v>502</v>
      </c>
      <c r="J256" s="37" t="s">
        <v>503</v>
      </c>
      <c r="K256" s="37" t="s">
        <v>561</v>
      </c>
      <c r="L256" s="32">
        <v>1E-4</v>
      </c>
      <c r="M256" s="32">
        <v>2.0000000000000001E-4</v>
      </c>
      <c r="N256" s="31">
        <f>N248</f>
        <v>0</v>
      </c>
      <c r="O256" s="34">
        <f t="shared" si="3"/>
        <v>0</v>
      </c>
    </row>
    <row r="257" spans="8:15" ht="14.25" customHeight="1">
      <c r="H257" s="35">
        <v>254</v>
      </c>
      <c r="I257" s="36" t="s">
        <v>504</v>
      </c>
      <c r="J257" s="37" t="s">
        <v>505</v>
      </c>
      <c r="K257" s="37" t="s">
        <v>561</v>
      </c>
      <c r="L257" s="32">
        <v>1E-4</v>
      </c>
      <c r="M257" s="32">
        <v>2.9999999999999997E-4</v>
      </c>
      <c r="N257" s="31">
        <f>N249</f>
        <v>0</v>
      </c>
      <c r="O257" s="34">
        <f t="shared" si="3"/>
        <v>0</v>
      </c>
    </row>
    <row r="258" spans="8:15" ht="14.25" customHeight="1">
      <c r="H258" s="35">
        <v>255</v>
      </c>
      <c r="I258" s="36" t="s">
        <v>506</v>
      </c>
      <c r="J258" s="37" t="s">
        <v>507</v>
      </c>
      <c r="K258" s="37" t="s">
        <v>561</v>
      </c>
      <c r="L258" s="32">
        <v>1E-4</v>
      </c>
      <c r="M258" s="32">
        <v>1E-4</v>
      </c>
      <c r="N258" s="31">
        <f>D50*2*12*D19*D51</f>
        <v>0</v>
      </c>
      <c r="O258" s="34">
        <f t="shared" si="3"/>
        <v>0</v>
      </c>
    </row>
    <row r="259" spans="8:15" ht="14.25" customHeight="1">
      <c r="H259" s="35">
        <v>256</v>
      </c>
      <c r="I259" s="36" t="s">
        <v>508</v>
      </c>
      <c r="J259" s="37" t="s">
        <v>588</v>
      </c>
      <c r="K259" s="37" t="s">
        <v>561</v>
      </c>
      <c r="L259" s="32">
        <v>1E-4</v>
      </c>
      <c r="M259" s="32">
        <v>1E-4</v>
      </c>
      <c r="N259" s="31">
        <f>D47*D48*12*D19/2*D51</f>
        <v>0</v>
      </c>
      <c r="O259" s="34">
        <f t="shared" si="3"/>
        <v>0</v>
      </c>
    </row>
    <row r="260" spans="8:15" ht="14.25" customHeight="1">
      <c r="H260" s="35">
        <v>257</v>
      </c>
      <c r="I260" s="36" t="s">
        <v>587</v>
      </c>
      <c r="J260" s="37" t="s">
        <v>509</v>
      </c>
      <c r="K260" s="37" t="s">
        <v>561</v>
      </c>
      <c r="L260" s="32">
        <v>1E-4</v>
      </c>
      <c r="M260" s="32">
        <v>1E-4</v>
      </c>
      <c r="N260" s="31">
        <f>N54</f>
        <v>5</v>
      </c>
      <c r="O260" s="34">
        <f t="shared" si="3"/>
        <v>1E-3</v>
      </c>
    </row>
    <row r="261" spans="8:15" ht="14.25" customHeight="1">
      <c r="H261" s="35">
        <v>258</v>
      </c>
      <c r="I261" s="36" t="s">
        <v>510</v>
      </c>
      <c r="J261" s="37" t="s">
        <v>511</v>
      </c>
      <c r="K261" s="37" t="s">
        <v>561</v>
      </c>
      <c r="L261" s="32">
        <v>1E-4</v>
      </c>
      <c r="M261" s="32">
        <v>1E-4</v>
      </c>
      <c r="N261" s="31">
        <f>N54</f>
        <v>5</v>
      </c>
      <c r="O261" s="34">
        <f t="shared" ref="O261:O324" si="4">(L261+M261)*N261</f>
        <v>1E-3</v>
      </c>
    </row>
    <row r="262" spans="8:15" ht="14.25" customHeight="1">
      <c r="H262" s="35">
        <v>259</v>
      </c>
      <c r="I262" s="36" t="s">
        <v>512</v>
      </c>
      <c r="J262" s="37" t="s">
        <v>513</v>
      </c>
      <c r="K262" s="37" t="s">
        <v>561</v>
      </c>
      <c r="L262" s="32">
        <v>1E-4</v>
      </c>
      <c r="M262" s="32">
        <v>1E-4</v>
      </c>
      <c r="N262" s="31">
        <f>D8</f>
        <v>150</v>
      </c>
      <c r="O262" s="34">
        <f t="shared" si="4"/>
        <v>3.0000000000000002E-2</v>
      </c>
    </row>
    <row r="263" spans="8:15" ht="14.25" customHeight="1">
      <c r="H263" s="35">
        <v>260</v>
      </c>
      <c r="I263" s="36" t="s">
        <v>514</v>
      </c>
      <c r="J263" s="37" t="s">
        <v>515</v>
      </c>
      <c r="K263" s="37" t="s">
        <v>561</v>
      </c>
      <c r="L263" s="32">
        <v>1E-4</v>
      </c>
      <c r="M263" s="32">
        <v>1E-4</v>
      </c>
      <c r="N263" s="31">
        <f>D10</f>
        <v>50</v>
      </c>
      <c r="O263" s="34">
        <f t="shared" si="4"/>
        <v>0.01</v>
      </c>
    </row>
    <row r="264" spans="8:15" ht="14.25" customHeight="1">
      <c r="H264" s="35">
        <v>261</v>
      </c>
      <c r="I264" s="36" t="s">
        <v>516</v>
      </c>
      <c r="J264" s="37" t="s">
        <v>589</v>
      </c>
      <c r="K264" s="37" t="s">
        <v>561</v>
      </c>
      <c r="L264" s="32">
        <v>1E-4</v>
      </c>
      <c r="M264" s="32">
        <v>1E-4</v>
      </c>
      <c r="N264" s="31">
        <v>10</v>
      </c>
      <c r="O264" s="34">
        <f t="shared" si="4"/>
        <v>2E-3</v>
      </c>
    </row>
    <row r="265" spans="8:15" ht="14.25" customHeight="1">
      <c r="H265" s="35">
        <v>262</v>
      </c>
      <c r="I265" s="36" t="s">
        <v>517</v>
      </c>
      <c r="J265" s="37" t="s">
        <v>518</v>
      </c>
      <c r="K265" s="37" t="s">
        <v>561</v>
      </c>
      <c r="L265" s="32">
        <v>1E-4</v>
      </c>
      <c r="M265" s="32">
        <v>1E-4</v>
      </c>
      <c r="N265" s="31">
        <f>N245</f>
        <v>18000</v>
      </c>
      <c r="O265" s="34">
        <f t="shared" si="4"/>
        <v>3.6</v>
      </c>
    </row>
    <row r="266" spans="8:15" ht="14.25" customHeight="1">
      <c r="H266" s="35">
        <v>263</v>
      </c>
      <c r="I266" s="36" t="s">
        <v>566</v>
      </c>
      <c r="J266" s="37" t="s">
        <v>519</v>
      </c>
      <c r="K266" s="37" t="s">
        <v>561</v>
      </c>
      <c r="L266" s="32">
        <v>1E-4</v>
      </c>
      <c r="M266" s="32">
        <v>1E-4</v>
      </c>
      <c r="N266" s="31">
        <v>0</v>
      </c>
      <c r="O266" s="34">
        <f t="shared" si="4"/>
        <v>0</v>
      </c>
    </row>
    <row r="267" spans="8:15" ht="14.25" customHeight="1">
      <c r="H267" s="35">
        <v>264</v>
      </c>
      <c r="I267" s="36" t="s">
        <v>520</v>
      </c>
      <c r="J267" s="37" t="s">
        <v>521</v>
      </c>
      <c r="K267" s="37" t="s">
        <v>561</v>
      </c>
      <c r="L267" s="32">
        <v>1E-4</v>
      </c>
      <c r="M267" s="32">
        <v>1E-4</v>
      </c>
      <c r="N267" s="31">
        <v>0</v>
      </c>
      <c r="O267" s="34">
        <f t="shared" si="4"/>
        <v>0</v>
      </c>
    </row>
    <row r="268" spans="8:15" ht="14.25" customHeight="1">
      <c r="H268" s="35">
        <v>265</v>
      </c>
      <c r="I268" s="36" t="s">
        <v>522</v>
      </c>
      <c r="J268" s="37" t="s">
        <v>523</v>
      </c>
      <c r="K268" s="37" t="s">
        <v>561</v>
      </c>
      <c r="L268" s="32">
        <v>1E-4</v>
      </c>
      <c r="M268" s="32">
        <v>1E-4</v>
      </c>
      <c r="N268" s="31">
        <v>0</v>
      </c>
      <c r="O268" s="34">
        <f t="shared" si="4"/>
        <v>0</v>
      </c>
    </row>
    <row r="269" spans="8:15" ht="14.25" customHeight="1">
      <c r="H269" s="35">
        <v>266</v>
      </c>
      <c r="I269" s="36" t="s">
        <v>524</v>
      </c>
      <c r="J269" s="37" t="s">
        <v>590</v>
      </c>
      <c r="K269" s="37" t="s">
        <v>561</v>
      </c>
      <c r="L269" s="32">
        <v>1E-4</v>
      </c>
      <c r="M269" s="32">
        <v>1E-4</v>
      </c>
      <c r="N269" s="31">
        <v>10</v>
      </c>
      <c r="O269" s="34">
        <f t="shared" si="4"/>
        <v>2E-3</v>
      </c>
    </row>
    <row r="270" spans="8:15" ht="14.25" customHeight="1">
      <c r="H270" s="35">
        <v>267</v>
      </c>
      <c r="I270" s="36" t="s">
        <v>591</v>
      </c>
      <c r="J270" s="37" t="s">
        <v>525</v>
      </c>
      <c r="K270" s="37" t="s">
        <v>562</v>
      </c>
      <c r="L270" s="32">
        <v>1E-4</v>
      </c>
      <c r="M270" s="32">
        <v>1E-4</v>
      </c>
      <c r="N270" s="31">
        <v>26</v>
      </c>
      <c r="O270" s="34">
        <f t="shared" si="4"/>
        <v>5.2000000000000006E-3</v>
      </c>
    </row>
    <row r="271" spans="8:15" ht="14.25" customHeight="1">
      <c r="H271" s="35">
        <v>270</v>
      </c>
      <c r="I271" s="36" t="s">
        <v>526</v>
      </c>
      <c r="J271" s="37" t="s">
        <v>527</v>
      </c>
      <c r="K271" s="37" t="s">
        <v>561</v>
      </c>
      <c r="L271" s="32">
        <v>1E-4</v>
      </c>
      <c r="M271" s="32">
        <v>1E-4</v>
      </c>
      <c r="N271" s="31">
        <v>0</v>
      </c>
      <c r="O271" s="34">
        <f t="shared" si="4"/>
        <v>0</v>
      </c>
    </row>
    <row r="272" spans="8:15" ht="14.25" customHeight="1">
      <c r="H272" s="35">
        <v>271</v>
      </c>
      <c r="I272" s="36" t="s">
        <v>528</v>
      </c>
      <c r="J272" s="37" t="s">
        <v>529</v>
      </c>
      <c r="K272" s="37" t="s">
        <v>561</v>
      </c>
      <c r="L272" s="32">
        <v>1E-4</v>
      </c>
      <c r="M272" s="32">
        <v>1E-4</v>
      </c>
      <c r="N272" s="31">
        <v>50</v>
      </c>
      <c r="O272" s="34">
        <f t="shared" si="4"/>
        <v>0.01</v>
      </c>
    </row>
    <row r="273" spans="8:15" ht="14.25" customHeight="1">
      <c r="H273" s="35">
        <v>272</v>
      </c>
      <c r="I273" s="36" t="s">
        <v>1152</v>
      </c>
      <c r="J273" s="37" t="s">
        <v>1153</v>
      </c>
      <c r="K273" s="37" t="s">
        <v>562</v>
      </c>
      <c r="L273" s="32">
        <v>1E-4</v>
      </c>
      <c r="M273" s="32">
        <v>1E-4</v>
      </c>
      <c r="N273" s="31">
        <f>5*D25</f>
        <v>0</v>
      </c>
      <c r="O273" s="34">
        <f t="shared" si="4"/>
        <v>0</v>
      </c>
    </row>
    <row r="274" spans="8:15" ht="14.25" customHeight="1">
      <c r="H274" s="35">
        <v>273</v>
      </c>
      <c r="I274" s="36" t="s">
        <v>530</v>
      </c>
      <c r="J274" s="37" t="s">
        <v>592</v>
      </c>
      <c r="K274" s="37" t="s">
        <v>562</v>
      </c>
      <c r="L274" s="32">
        <v>1E-4</v>
      </c>
      <c r="M274" s="32">
        <v>1E-4</v>
      </c>
      <c r="N274" s="31">
        <f>N273*2</f>
        <v>0</v>
      </c>
      <c r="O274" s="34">
        <f t="shared" si="4"/>
        <v>0</v>
      </c>
    </row>
    <row r="275" spans="8:15" ht="14.25" customHeight="1">
      <c r="H275" s="35">
        <v>274</v>
      </c>
      <c r="I275" s="36" t="s">
        <v>531</v>
      </c>
      <c r="J275" s="37" t="s">
        <v>593</v>
      </c>
      <c r="K275" s="37" t="s">
        <v>562</v>
      </c>
      <c r="L275" s="32">
        <v>1E-4</v>
      </c>
      <c r="M275" s="32">
        <v>1E-4</v>
      </c>
      <c r="N275" s="31">
        <f>N273*5</f>
        <v>0</v>
      </c>
      <c r="O275" s="34">
        <f t="shared" si="4"/>
        <v>0</v>
      </c>
    </row>
    <row r="276" spans="8:15" ht="14.25" customHeight="1">
      <c r="H276" s="35">
        <v>275</v>
      </c>
      <c r="I276" s="36" t="s">
        <v>532</v>
      </c>
      <c r="J276" s="37" t="s">
        <v>596</v>
      </c>
      <c r="K276" s="37" t="s">
        <v>561</v>
      </c>
      <c r="L276" s="32">
        <v>1E-4</v>
      </c>
      <c r="M276" s="32">
        <v>1E-4</v>
      </c>
      <c r="N276" s="31">
        <f>4*D25</f>
        <v>0</v>
      </c>
      <c r="O276" s="34">
        <f t="shared" si="4"/>
        <v>0</v>
      </c>
    </row>
    <row r="277" spans="8:15" ht="14.25" customHeight="1">
      <c r="H277" s="35">
        <v>276</v>
      </c>
      <c r="I277" s="36" t="s">
        <v>533</v>
      </c>
      <c r="J277" s="37" t="s">
        <v>534</v>
      </c>
      <c r="K277" s="37" t="s">
        <v>561</v>
      </c>
      <c r="L277" s="32">
        <v>1E-4</v>
      </c>
      <c r="M277" s="32">
        <v>1E-4</v>
      </c>
      <c r="N277" s="31">
        <f>N275*D8*0.05</f>
        <v>0</v>
      </c>
      <c r="O277" s="34">
        <f t="shared" si="4"/>
        <v>0</v>
      </c>
    </row>
    <row r="278" spans="8:15" ht="14.25" customHeight="1">
      <c r="H278" s="35">
        <v>277</v>
      </c>
      <c r="I278" s="36" t="s">
        <v>535</v>
      </c>
      <c r="J278" s="37" t="s">
        <v>536</v>
      </c>
      <c r="K278" s="37" t="s">
        <v>561</v>
      </c>
      <c r="L278" s="32">
        <v>1E-4</v>
      </c>
      <c r="M278" s="32">
        <v>1E-4</v>
      </c>
      <c r="N278" s="31">
        <f>5*D25</f>
        <v>0</v>
      </c>
      <c r="O278" s="34">
        <f t="shared" si="4"/>
        <v>0</v>
      </c>
    </row>
    <row r="279" spans="8:15" ht="14.25" customHeight="1">
      <c r="H279" s="35">
        <v>278</v>
      </c>
      <c r="I279" s="36" t="s">
        <v>537</v>
      </c>
      <c r="J279" s="37" t="s">
        <v>598</v>
      </c>
      <c r="K279" s="37" t="s">
        <v>561</v>
      </c>
      <c r="L279" s="32">
        <v>1E-4</v>
      </c>
      <c r="M279" s="32">
        <v>1E-4</v>
      </c>
      <c r="N279" s="31">
        <f>D25*D10</f>
        <v>0</v>
      </c>
      <c r="O279" s="34">
        <f t="shared" si="4"/>
        <v>0</v>
      </c>
    </row>
    <row r="280" spans="8:15" ht="14.25" customHeight="1">
      <c r="H280" s="35">
        <v>279</v>
      </c>
      <c r="I280" s="36" t="s">
        <v>538</v>
      </c>
      <c r="J280" s="37" t="s">
        <v>597</v>
      </c>
      <c r="K280" s="37" t="s">
        <v>561</v>
      </c>
      <c r="L280" s="32">
        <v>1E-4</v>
      </c>
      <c r="M280" s="32">
        <v>1E-4</v>
      </c>
      <c r="N280" s="31">
        <f>N275*2</f>
        <v>0</v>
      </c>
      <c r="O280" s="34">
        <f t="shared" si="4"/>
        <v>0</v>
      </c>
    </row>
    <row r="281" spans="8:15" ht="14.25" customHeight="1">
      <c r="H281" s="35">
        <v>280</v>
      </c>
      <c r="I281" s="36" t="s">
        <v>539</v>
      </c>
      <c r="J281" s="37" t="s">
        <v>599</v>
      </c>
      <c r="K281" s="37" t="s">
        <v>561</v>
      </c>
      <c r="L281" s="32">
        <v>1E-4</v>
      </c>
      <c r="M281" s="32">
        <v>1E-4</v>
      </c>
      <c r="N281" s="31">
        <f>1*D25</f>
        <v>0</v>
      </c>
      <c r="O281" s="34">
        <f t="shared" si="4"/>
        <v>0</v>
      </c>
    </row>
    <row r="282" spans="8:15" ht="14.25" customHeight="1">
      <c r="H282" s="35">
        <v>281</v>
      </c>
      <c r="I282" s="36" t="s">
        <v>540</v>
      </c>
      <c r="J282" s="37" t="s">
        <v>541</v>
      </c>
      <c r="K282" s="37" t="s">
        <v>561</v>
      </c>
      <c r="L282" s="32">
        <v>1E-4</v>
      </c>
      <c r="M282" s="32">
        <v>2.9999999999999997E-4</v>
      </c>
      <c r="N282" s="31">
        <f>((D47*12*D19)+N111)*D26*D25</f>
        <v>0</v>
      </c>
      <c r="O282" s="34">
        <f t="shared" si="4"/>
        <v>0</v>
      </c>
    </row>
    <row r="283" spans="8:15" ht="14.25" customHeight="1">
      <c r="H283" s="35">
        <v>282</v>
      </c>
      <c r="I283" s="36" t="s">
        <v>542</v>
      </c>
      <c r="J283" s="37" t="s">
        <v>543</v>
      </c>
      <c r="K283" s="37" t="s">
        <v>561</v>
      </c>
      <c r="L283" s="32">
        <v>1E-4</v>
      </c>
      <c r="M283" s="32">
        <v>2.0000000000000001E-4</v>
      </c>
      <c r="N283" s="31">
        <f>(D7*12*D19+N113+(D47*12*D19)+(D47*D48*12*D19)+N178+N179+N142+N143)*D26*D25</f>
        <v>0</v>
      </c>
      <c r="O283" s="34">
        <f t="shared" si="4"/>
        <v>0</v>
      </c>
    </row>
    <row r="284" spans="8:15" ht="14.25" customHeight="1">
      <c r="H284" s="35">
        <v>283</v>
      </c>
      <c r="I284" s="36" t="s">
        <v>544</v>
      </c>
      <c r="J284" s="37" t="s">
        <v>545</v>
      </c>
      <c r="K284" s="37" t="s">
        <v>561</v>
      </c>
      <c r="L284" s="32">
        <v>1E-4</v>
      </c>
      <c r="M284" s="32">
        <v>4.0000000000000002E-4</v>
      </c>
      <c r="N284" s="31">
        <f>((D34+(D33*2*D36))*12*D19+N51)*D26*D25</f>
        <v>0</v>
      </c>
      <c r="O284" s="34">
        <f t="shared" si="4"/>
        <v>0</v>
      </c>
    </row>
    <row r="285" spans="8:15" ht="14.25" customHeight="1">
      <c r="H285" s="35">
        <v>284</v>
      </c>
      <c r="I285" s="36" t="s">
        <v>546</v>
      </c>
      <c r="J285" s="37" t="s">
        <v>547</v>
      </c>
      <c r="K285" s="37" t="s">
        <v>561</v>
      </c>
      <c r="L285" s="32">
        <v>1E-4</v>
      </c>
      <c r="M285" s="32">
        <v>5.0000000000000001E-4</v>
      </c>
      <c r="N285" s="31">
        <f>((D34+(D33*2*D36))*12*D19)*D26*D25</f>
        <v>0</v>
      </c>
      <c r="O285" s="34">
        <f t="shared" si="4"/>
        <v>0</v>
      </c>
    </row>
    <row r="286" spans="8:15" ht="14.25" customHeight="1">
      <c r="H286" s="35">
        <v>285</v>
      </c>
      <c r="I286" s="36" t="s">
        <v>548</v>
      </c>
      <c r="J286" s="37" t="s">
        <v>549</v>
      </c>
      <c r="K286" s="37" t="s">
        <v>561</v>
      </c>
      <c r="L286" s="32">
        <v>1E-4</v>
      </c>
      <c r="M286" s="32">
        <v>2.9999999999999997E-4</v>
      </c>
      <c r="N286" s="31">
        <f>((D34+(D33*2*D36))*D35*12*D19)*D26*D25</f>
        <v>0</v>
      </c>
      <c r="O286" s="34">
        <f t="shared" si="4"/>
        <v>0</v>
      </c>
    </row>
    <row r="287" spans="8:15" ht="14.25" customHeight="1">
      <c r="H287" s="35">
        <v>286</v>
      </c>
      <c r="I287" s="36" t="s">
        <v>550</v>
      </c>
      <c r="J287" s="37" t="s">
        <v>551</v>
      </c>
      <c r="K287" s="37" t="s">
        <v>561</v>
      </c>
      <c r="L287" s="32">
        <v>1E-4</v>
      </c>
      <c r="M287" s="32">
        <v>2.0000000000000001E-4</v>
      </c>
      <c r="N287" s="31">
        <f>(D42*12*D19)*D26*D25</f>
        <v>0</v>
      </c>
      <c r="O287" s="34">
        <f t="shared" si="4"/>
        <v>0</v>
      </c>
    </row>
    <row r="288" spans="8:15" ht="14.25" customHeight="1">
      <c r="H288" s="35">
        <v>287</v>
      </c>
      <c r="I288" s="36" t="s">
        <v>552</v>
      </c>
      <c r="J288" s="37" t="s">
        <v>553</v>
      </c>
      <c r="K288" s="37" t="s">
        <v>561</v>
      </c>
      <c r="L288" s="32">
        <v>1E-4</v>
      </c>
      <c r="M288" s="32">
        <v>1E-4</v>
      </c>
      <c r="N288" s="31">
        <f>(N282+N284+N287)*D25</f>
        <v>0</v>
      </c>
      <c r="O288" s="34">
        <f t="shared" si="4"/>
        <v>0</v>
      </c>
    </row>
    <row r="289" spans="8:15" ht="14.25" customHeight="1">
      <c r="H289" s="35">
        <v>288</v>
      </c>
      <c r="I289" s="36" t="s">
        <v>554</v>
      </c>
      <c r="J289" s="37" t="s">
        <v>555</v>
      </c>
      <c r="K289" s="37" t="s">
        <v>562</v>
      </c>
      <c r="L289" s="32">
        <v>1E-4</v>
      </c>
      <c r="M289" s="32">
        <v>1E-4</v>
      </c>
      <c r="N289" s="31">
        <f>D59*260*20*12*D19*D60</f>
        <v>0</v>
      </c>
      <c r="O289" s="34">
        <f t="shared" si="4"/>
        <v>0</v>
      </c>
    </row>
    <row r="290" spans="8:15" ht="14.25" customHeight="1">
      <c r="H290" s="35">
        <v>289</v>
      </c>
      <c r="I290" s="36" t="s">
        <v>556</v>
      </c>
      <c r="J290" s="37" t="s">
        <v>557</v>
      </c>
      <c r="K290" s="37" t="s">
        <v>562</v>
      </c>
      <c r="L290" s="32">
        <v>1E-4</v>
      </c>
      <c r="M290" s="32">
        <v>1E-4</v>
      </c>
      <c r="N290" s="31">
        <f>D59*1700*20*12*D19*D60</f>
        <v>0</v>
      </c>
      <c r="O290" s="34">
        <f t="shared" si="4"/>
        <v>0</v>
      </c>
    </row>
    <row r="291" spans="8:15" ht="14.25" customHeight="1">
      <c r="H291" s="35">
        <v>290</v>
      </c>
      <c r="I291" s="36" t="s">
        <v>558</v>
      </c>
      <c r="J291" s="37" t="s">
        <v>559</v>
      </c>
      <c r="K291" s="37" t="s">
        <v>562</v>
      </c>
      <c r="L291" s="32">
        <v>1E-4</v>
      </c>
      <c r="M291" s="32">
        <v>1E-4</v>
      </c>
      <c r="N291" s="31">
        <f>D59*9000*20*12*D19*D60</f>
        <v>0</v>
      </c>
      <c r="O291" s="34">
        <f t="shared" si="4"/>
        <v>0</v>
      </c>
    </row>
    <row r="292" spans="8:15" ht="14.25" customHeight="1">
      <c r="H292" s="35">
        <v>291</v>
      </c>
      <c r="I292" s="36" t="s">
        <v>560</v>
      </c>
      <c r="J292" s="37" t="s">
        <v>1154</v>
      </c>
      <c r="K292" s="37" t="s">
        <v>561</v>
      </c>
      <c r="L292" s="32">
        <v>1E-4</v>
      </c>
      <c r="M292" s="32">
        <v>1E-4</v>
      </c>
      <c r="N292" s="31">
        <f>D46*0.2*12*D19*D51</f>
        <v>0</v>
      </c>
      <c r="O292" s="34">
        <f t="shared" si="4"/>
        <v>0</v>
      </c>
    </row>
    <row r="293" spans="8:15" ht="14.25" customHeight="1">
      <c r="H293" s="35">
        <v>292</v>
      </c>
      <c r="I293" s="36" t="s">
        <v>618</v>
      </c>
      <c r="J293" s="37" t="s">
        <v>647</v>
      </c>
      <c r="K293" s="37" t="s">
        <v>561</v>
      </c>
      <c r="L293" s="32">
        <v>1E-4</v>
      </c>
      <c r="M293" s="32">
        <v>1E-4</v>
      </c>
      <c r="N293" s="31">
        <f>12*D19*D36</f>
        <v>0</v>
      </c>
      <c r="O293" s="34">
        <f t="shared" si="4"/>
        <v>0</v>
      </c>
    </row>
    <row r="294" spans="8:15" ht="14.25" customHeight="1">
      <c r="H294" s="35">
        <v>293</v>
      </c>
      <c r="I294" s="36" t="s">
        <v>648</v>
      </c>
      <c r="J294" s="37" t="s">
        <v>649</v>
      </c>
      <c r="K294" s="37" t="s">
        <v>650</v>
      </c>
      <c r="L294" s="32">
        <v>1E-4</v>
      </c>
      <c r="M294" s="32">
        <v>1E-4</v>
      </c>
      <c r="N294" s="31">
        <v>2</v>
      </c>
      <c r="O294" s="34">
        <f t="shared" si="4"/>
        <v>4.0000000000000002E-4</v>
      </c>
    </row>
    <row r="295" spans="8:15" ht="14.25" customHeight="1">
      <c r="H295" s="35">
        <v>294</v>
      </c>
      <c r="I295" s="36" t="s">
        <v>651</v>
      </c>
      <c r="J295" s="37" t="s">
        <v>652</v>
      </c>
      <c r="K295" s="37" t="s">
        <v>561</v>
      </c>
      <c r="L295" s="32">
        <v>1E-4</v>
      </c>
      <c r="M295" s="32">
        <v>2.0000000000000001E-4</v>
      </c>
      <c r="N295" s="31">
        <f>D34*12*D19*D36</f>
        <v>0</v>
      </c>
      <c r="O295" s="34">
        <f t="shared" si="4"/>
        <v>0</v>
      </c>
    </row>
    <row r="296" spans="8:15" ht="14.25" customHeight="1">
      <c r="H296" s="35">
        <v>295</v>
      </c>
      <c r="I296" s="36" t="s">
        <v>1309</v>
      </c>
      <c r="J296" s="37" t="s">
        <v>1144</v>
      </c>
      <c r="K296" s="37" t="s">
        <v>561</v>
      </c>
      <c r="L296" s="32">
        <v>1E-4</v>
      </c>
      <c r="M296" s="32">
        <v>2.9999999999999997E-4</v>
      </c>
      <c r="N296" s="31">
        <f>D34*D35*12*D19*D36</f>
        <v>0</v>
      </c>
      <c r="O296" s="34">
        <f t="shared" si="4"/>
        <v>0</v>
      </c>
    </row>
    <row r="297" spans="8:15" ht="14.25" customHeight="1">
      <c r="H297" s="35">
        <v>296</v>
      </c>
      <c r="I297" s="36" t="s">
        <v>619</v>
      </c>
      <c r="J297" s="37" t="s">
        <v>620</v>
      </c>
      <c r="K297" s="37" t="s">
        <v>561</v>
      </c>
      <c r="L297" s="32">
        <v>1E-4</v>
      </c>
      <c r="M297" s="32">
        <v>1E-4</v>
      </c>
      <c r="N297" s="31">
        <f>D33*2*12*D19*D36</f>
        <v>0</v>
      </c>
      <c r="O297" s="34">
        <f t="shared" si="4"/>
        <v>0</v>
      </c>
    </row>
    <row r="298" spans="8:15" ht="14.25" customHeight="1">
      <c r="H298" s="35">
        <v>297</v>
      </c>
      <c r="I298" s="36" t="s">
        <v>653</v>
      </c>
      <c r="J298" s="37" t="s">
        <v>654</v>
      </c>
      <c r="K298" s="37" t="s">
        <v>561</v>
      </c>
      <c r="L298" s="32">
        <v>1E-4</v>
      </c>
      <c r="M298" s="32">
        <v>1E-4</v>
      </c>
      <c r="N298" s="31">
        <v>0</v>
      </c>
      <c r="O298" s="34">
        <f t="shared" si="4"/>
        <v>0</v>
      </c>
    </row>
    <row r="299" spans="8:15" ht="14.25" customHeight="1">
      <c r="H299" s="35">
        <v>298</v>
      </c>
      <c r="I299" s="36" t="s">
        <v>621</v>
      </c>
      <c r="J299" s="37" t="s">
        <v>622</v>
      </c>
      <c r="K299" s="37" t="s">
        <v>561</v>
      </c>
      <c r="L299" s="32">
        <v>1E-4</v>
      </c>
      <c r="M299" s="32">
        <v>1E-4</v>
      </c>
      <c r="N299" s="31">
        <v>0</v>
      </c>
      <c r="O299" s="34">
        <f t="shared" si="4"/>
        <v>0</v>
      </c>
    </row>
    <row r="300" spans="8:15" ht="14.25" customHeight="1">
      <c r="H300" s="35">
        <v>299</v>
      </c>
      <c r="I300" s="36" t="s">
        <v>655</v>
      </c>
      <c r="J300" s="37" t="s">
        <v>656</v>
      </c>
      <c r="K300" s="37" t="s">
        <v>561</v>
      </c>
      <c r="L300" s="32">
        <v>1E-4</v>
      </c>
      <c r="M300" s="32">
        <v>1E-4</v>
      </c>
      <c r="N300" s="31">
        <v>0</v>
      </c>
      <c r="O300" s="34">
        <f t="shared" si="4"/>
        <v>0</v>
      </c>
    </row>
    <row r="301" spans="8:15" ht="14.25" customHeight="1">
      <c r="H301" s="35">
        <v>300</v>
      </c>
      <c r="I301" s="36" t="s">
        <v>623</v>
      </c>
      <c r="J301" s="37" t="s">
        <v>624</v>
      </c>
      <c r="K301" s="37" t="s">
        <v>561</v>
      </c>
      <c r="L301" s="32">
        <v>1E-4</v>
      </c>
      <c r="M301" s="32">
        <v>1E-4</v>
      </c>
      <c r="N301" s="31">
        <v>0</v>
      </c>
      <c r="O301" s="34">
        <f t="shared" si="4"/>
        <v>0</v>
      </c>
    </row>
    <row r="302" spans="8:15" ht="14.25" customHeight="1">
      <c r="H302" s="35">
        <v>301</v>
      </c>
      <c r="I302" s="36" t="s">
        <v>657</v>
      </c>
      <c r="J302" s="37" t="s">
        <v>658</v>
      </c>
      <c r="K302" s="37" t="s">
        <v>561</v>
      </c>
      <c r="L302" s="32">
        <v>1E-4</v>
      </c>
      <c r="M302" s="32">
        <v>1E-4</v>
      </c>
      <c r="N302" s="31">
        <f>N296*0.01</f>
        <v>0</v>
      </c>
      <c r="O302" s="34">
        <f t="shared" si="4"/>
        <v>0</v>
      </c>
    </row>
    <row r="303" spans="8:15" ht="14.25" customHeight="1">
      <c r="H303" s="35">
        <v>302</v>
      </c>
      <c r="I303" s="36" t="s">
        <v>625</v>
      </c>
      <c r="J303" s="37" t="s">
        <v>626</v>
      </c>
      <c r="K303" s="37" t="s">
        <v>561</v>
      </c>
      <c r="L303" s="32">
        <v>1E-4</v>
      </c>
      <c r="M303" s="32">
        <v>1E-4</v>
      </c>
      <c r="N303" s="31">
        <f>N301*0.01</f>
        <v>0</v>
      </c>
      <c r="O303" s="34">
        <f t="shared" si="4"/>
        <v>0</v>
      </c>
    </row>
    <row r="304" spans="8:15" ht="14.25" customHeight="1">
      <c r="H304" s="35">
        <v>303</v>
      </c>
      <c r="I304" s="36" t="s">
        <v>627</v>
      </c>
      <c r="J304" s="37" t="s">
        <v>628</v>
      </c>
      <c r="K304" s="37" t="s">
        <v>650</v>
      </c>
      <c r="L304" s="32">
        <v>1E-4</v>
      </c>
      <c r="M304" s="32">
        <v>1E-4</v>
      </c>
      <c r="N304" s="31">
        <v>0</v>
      </c>
      <c r="O304" s="34">
        <f t="shared" si="4"/>
        <v>0</v>
      </c>
    </row>
    <row r="305" spans="8:15" ht="14.25" customHeight="1">
      <c r="H305" s="35">
        <v>304</v>
      </c>
      <c r="I305" s="36" t="s">
        <v>659</v>
      </c>
      <c r="J305" s="37" t="s">
        <v>660</v>
      </c>
      <c r="K305" s="37" t="s">
        <v>561</v>
      </c>
      <c r="L305" s="32">
        <v>1E-4</v>
      </c>
      <c r="M305" s="32">
        <v>1E-4</v>
      </c>
      <c r="N305" s="31">
        <f>D8*0.01</f>
        <v>1.5</v>
      </c>
      <c r="O305" s="34">
        <f t="shared" si="4"/>
        <v>3.0000000000000003E-4</v>
      </c>
    </row>
    <row r="306" spans="8:15" ht="14.25" customHeight="1">
      <c r="H306" s="35">
        <v>305</v>
      </c>
      <c r="I306" s="36" t="s">
        <v>629</v>
      </c>
      <c r="J306" s="37" t="s">
        <v>630</v>
      </c>
      <c r="K306" s="37" t="s">
        <v>561</v>
      </c>
      <c r="L306" s="32">
        <v>1E-4</v>
      </c>
      <c r="M306" s="32">
        <v>1E-4</v>
      </c>
      <c r="N306" s="31">
        <v>0</v>
      </c>
      <c r="O306" s="34">
        <f t="shared" si="4"/>
        <v>0</v>
      </c>
    </row>
    <row r="307" spans="8:15" ht="14.25" customHeight="1">
      <c r="H307" s="35">
        <v>306</v>
      </c>
      <c r="I307" s="36" t="s">
        <v>661</v>
      </c>
      <c r="J307" s="37" t="s">
        <v>631</v>
      </c>
      <c r="K307" s="37" t="s">
        <v>561</v>
      </c>
      <c r="L307" s="32">
        <v>1E-4</v>
      </c>
      <c r="M307" s="32">
        <v>1E-4</v>
      </c>
      <c r="N307" s="31">
        <v>0</v>
      </c>
      <c r="O307" s="34">
        <f t="shared" si="4"/>
        <v>0</v>
      </c>
    </row>
    <row r="308" spans="8:15" ht="14.25" customHeight="1">
      <c r="H308" s="35">
        <v>307</v>
      </c>
      <c r="I308" s="36" t="s">
        <v>632</v>
      </c>
      <c r="J308" s="37" t="s">
        <v>662</v>
      </c>
      <c r="K308" s="37" t="s">
        <v>561</v>
      </c>
      <c r="L308" s="32">
        <v>1E-4</v>
      </c>
      <c r="M308" s="32">
        <v>1E-4</v>
      </c>
      <c r="N308" s="31">
        <v>0</v>
      </c>
      <c r="O308" s="34">
        <f t="shared" si="4"/>
        <v>0</v>
      </c>
    </row>
    <row r="309" spans="8:15" ht="14.25" customHeight="1">
      <c r="H309" s="35">
        <v>308</v>
      </c>
      <c r="I309" s="36" t="s">
        <v>633</v>
      </c>
      <c r="J309" s="37" t="s">
        <v>634</v>
      </c>
      <c r="K309" s="37" t="s">
        <v>561</v>
      </c>
      <c r="L309" s="32">
        <v>1E-4</v>
      </c>
      <c r="M309" s="32">
        <v>1E-4</v>
      </c>
      <c r="N309" s="31">
        <v>0</v>
      </c>
      <c r="O309" s="34">
        <f t="shared" si="4"/>
        <v>0</v>
      </c>
    </row>
    <row r="310" spans="8:15" ht="14.25" customHeight="1">
      <c r="H310" s="35">
        <v>309</v>
      </c>
      <c r="I310" s="36" t="s">
        <v>635</v>
      </c>
      <c r="J310" s="37" t="s">
        <v>663</v>
      </c>
      <c r="K310" s="37" t="s">
        <v>561</v>
      </c>
      <c r="L310" s="32">
        <v>1E-4</v>
      </c>
      <c r="M310" s="32">
        <v>1E-4</v>
      </c>
      <c r="N310" s="31">
        <v>0</v>
      </c>
      <c r="O310" s="34">
        <f t="shared" si="4"/>
        <v>0</v>
      </c>
    </row>
    <row r="311" spans="8:15" ht="14.25" customHeight="1">
      <c r="H311" s="35">
        <v>310</v>
      </c>
      <c r="I311" s="36" t="s">
        <v>664</v>
      </c>
      <c r="J311" s="37" t="s">
        <v>665</v>
      </c>
      <c r="K311" s="37" t="s">
        <v>561</v>
      </c>
      <c r="L311" s="32">
        <v>1E-4</v>
      </c>
      <c r="M311" s="32">
        <v>1E-4</v>
      </c>
      <c r="N311" s="31">
        <f>40*D56</f>
        <v>0</v>
      </c>
      <c r="O311" s="34">
        <f t="shared" si="4"/>
        <v>0</v>
      </c>
    </row>
    <row r="312" spans="8:15" ht="14.25" customHeight="1">
      <c r="H312" s="35">
        <v>311</v>
      </c>
      <c r="I312" s="36" t="s">
        <v>636</v>
      </c>
      <c r="J312" s="37" t="s">
        <v>637</v>
      </c>
      <c r="K312" s="37" t="s">
        <v>561</v>
      </c>
      <c r="L312" s="32">
        <v>1E-4</v>
      </c>
      <c r="M312" s="32">
        <v>1E-4</v>
      </c>
      <c r="N312" s="31">
        <f>8*D56</f>
        <v>0</v>
      </c>
      <c r="O312" s="34">
        <f t="shared" si="4"/>
        <v>0</v>
      </c>
    </row>
    <row r="313" spans="8:15" ht="14.25" customHeight="1">
      <c r="H313" s="35">
        <v>312</v>
      </c>
      <c r="I313" s="36" t="s">
        <v>666</v>
      </c>
      <c r="J313" s="37" t="s">
        <v>638</v>
      </c>
      <c r="K313" s="37" t="s">
        <v>561</v>
      </c>
      <c r="L313" s="32">
        <v>1E-4</v>
      </c>
      <c r="M313" s="32">
        <v>1E-4</v>
      </c>
      <c r="N313" s="31">
        <v>0</v>
      </c>
      <c r="O313" s="34">
        <f t="shared" si="4"/>
        <v>0</v>
      </c>
    </row>
    <row r="314" spans="8:15" ht="14.25" customHeight="1">
      <c r="H314" s="35">
        <v>313</v>
      </c>
      <c r="I314" s="36" t="s">
        <v>639</v>
      </c>
      <c r="J314" s="37" t="s">
        <v>640</v>
      </c>
      <c r="K314" s="37" t="s">
        <v>561</v>
      </c>
      <c r="L314" s="32">
        <v>1E-4</v>
      </c>
      <c r="M314" s="32">
        <v>1E-4</v>
      </c>
      <c r="N314" s="31">
        <v>0</v>
      </c>
      <c r="O314" s="34">
        <f t="shared" si="4"/>
        <v>0</v>
      </c>
    </row>
    <row r="315" spans="8:15" ht="14.25" customHeight="1">
      <c r="H315" s="35">
        <v>314</v>
      </c>
      <c r="I315" s="36" t="s">
        <v>641</v>
      </c>
      <c r="J315" s="37" t="s">
        <v>642</v>
      </c>
      <c r="K315" s="37" t="s">
        <v>561</v>
      </c>
      <c r="L315" s="32">
        <v>1E-4</v>
      </c>
      <c r="M315" s="32">
        <v>1E-4</v>
      </c>
      <c r="N315" s="31">
        <v>0</v>
      </c>
      <c r="O315" s="34">
        <f t="shared" si="4"/>
        <v>0</v>
      </c>
    </row>
    <row r="316" spans="8:15" ht="14.25" customHeight="1">
      <c r="H316" s="35">
        <v>315</v>
      </c>
      <c r="I316" s="36" t="s">
        <v>667</v>
      </c>
      <c r="J316" s="37" t="s">
        <v>643</v>
      </c>
      <c r="K316" s="37" t="s">
        <v>561</v>
      </c>
      <c r="L316" s="32">
        <v>1E-4</v>
      </c>
      <c r="M316" s="32">
        <v>1E-4</v>
      </c>
      <c r="N316" s="31">
        <v>0</v>
      </c>
      <c r="O316" s="34">
        <f t="shared" si="4"/>
        <v>0</v>
      </c>
    </row>
    <row r="317" spans="8:15" ht="14.25" customHeight="1">
      <c r="H317" s="35">
        <v>316</v>
      </c>
      <c r="I317" s="36" t="s">
        <v>668</v>
      </c>
      <c r="J317" s="37" t="s">
        <v>669</v>
      </c>
      <c r="K317" s="37" t="s">
        <v>821</v>
      </c>
      <c r="L317" s="26">
        <v>1E-4</v>
      </c>
      <c r="M317" s="26">
        <v>1E-4</v>
      </c>
      <c r="N317" s="31">
        <v>0</v>
      </c>
      <c r="O317" s="34">
        <f t="shared" si="4"/>
        <v>0</v>
      </c>
    </row>
    <row r="318" spans="8:15" ht="14.25" customHeight="1">
      <c r="H318" s="35">
        <v>317</v>
      </c>
      <c r="I318" s="36" t="s">
        <v>670</v>
      </c>
      <c r="J318" s="37" t="s">
        <v>671</v>
      </c>
      <c r="K318" s="37" t="s">
        <v>821</v>
      </c>
      <c r="L318" s="26">
        <v>1E-4</v>
      </c>
      <c r="M318" s="26">
        <v>1E-4</v>
      </c>
      <c r="N318" s="31">
        <v>0</v>
      </c>
      <c r="O318" s="34">
        <f t="shared" si="4"/>
        <v>0</v>
      </c>
    </row>
    <row r="319" spans="8:15" ht="14.25" customHeight="1">
      <c r="H319" s="35">
        <v>318</v>
      </c>
      <c r="I319" s="36" t="s">
        <v>672</v>
      </c>
      <c r="J319" s="37" t="s">
        <v>673</v>
      </c>
      <c r="K319" s="37" t="s">
        <v>821</v>
      </c>
      <c r="L319" s="26">
        <v>1E-4</v>
      </c>
      <c r="M319" s="26">
        <v>1E-4</v>
      </c>
      <c r="N319" s="31">
        <v>0</v>
      </c>
      <c r="O319" s="34">
        <f t="shared" si="4"/>
        <v>0</v>
      </c>
    </row>
    <row r="320" spans="8:15" ht="14.25" customHeight="1">
      <c r="H320" s="35">
        <v>319</v>
      </c>
      <c r="I320" s="36" t="s">
        <v>674</v>
      </c>
      <c r="J320" s="37" t="s">
        <v>675</v>
      </c>
      <c r="K320" s="37" t="s">
        <v>821</v>
      </c>
      <c r="L320" s="26">
        <v>1E-4</v>
      </c>
      <c r="M320" s="26">
        <v>1E-4</v>
      </c>
      <c r="N320" s="31">
        <v>0</v>
      </c>
      <c r="O320" s="34">
        <f t="shared" si="4"/>
        <v>0</v>
      </c>
    </row>
    <row r="321" spans="8:15" ht="14.25" customHeight="1">
      <c r="H321" s="35">
        <v>320</v>
      </c>
      <c r="I321" s="36" t="s">
        <v>676</v>
      </c>
      <c r="J321" s="37" t="s">
        <v>677</v>
      </c>
      <c r="K321" s="37" t="s">
        <v>821</v>
      </c>
      <c r="L321" s="26">
        <v>1E-4</v>
      </c>
      <c r="M321" s="26">
        <v>1E-4</v>
      </c>
      <c r="N321" s="31">
        <v>0</v>
      </c>
      <c r="O321" s="34">
        <f t="shared" si="4"/>
        <v>0</v>
      </c>
    </row>
    <row r="322" spans="8:15" ht="14.25" customHeight="1">
      <c r="H322" s="35">
        <v>321</v>
      </c>
      <c r="I322" s="36" t="s">
        <v>678</v>
      </c>
      <c r="J322" s="37" t="s">
        <v>679</v>
      </c>
      <c r="K322" s="37" t="s">
        <v>821</v>
      </c>
      <c r="L322" s="26">
        <v>1E-4</v>
      </c>
      <c r="M322" s="26">
        <v>1E-4</v>
      </c>
      <c r="N322" s="31">
        <v>0</v>
      </c>
      <c r="O322" s="34">
        <f t="shared" si="4"/>
        <v>0</v>
      </c>
    </row>
    <row r="323" spans="8:15" ht="14.25" customHeight="1">
      <c r="H323" s="35">
        <v>322</v>
      </c>
      <c r="I323" s="36" t="s">
        <v>680</v>
      </c>
      <c r="J323" s="37" t="s">
        <v>681</v>
      </c>
      <c r="K323" s="37" t="s">
        <v>821</v>
      </c>
      <c r="L323" s="26">
        <v>1E-4</v>
      </c>
      <c r="M323" s="26">
        <v>1E-4</v>
      </c>
      <c r="N323" s="31">
        <v>0</v>
      </c>
      <c r="O323" s="34">
        <f t="shared" si="4"/>
        <v>0</v>
      </c>
    </row>
    <row r="324" spans="8:15" ht="14.25" customHeight="1">
      <c r="H324" s="35">
        <v>323</v>
      </c>
      <c r="I324" s="36" t="s">
        <v>682</v>
      </c>
      <c r="J324" s="37" t="s">
        <v>683</v>
      </c>
      <c r="K324" s="37" t="s">
        <v>821</v>
      </c>
      <c r="L324" s="26">
        <v>1E-4</v>
      </c>
      <c r="M324" s="26">
        <v>1E-4</v>
      </c>
      <c r="N324" s="31">
        <v>0</v>
      </c>
      <c r="O324" s="34">
        <f t="shared" si="4"/>
        <v>0</v>
      </c>
    </row>
    <row r="325" spans="8:15" ht="14.25" customHeight="1">
      <c r="H325" s="35">
        <v>324</v>
      </c>
      <c r="I325" s="36" t="s">
        <v>684</v>
      </c>
      <c r="J325" s="37" t="s">
        <v>685</v>
      </c>
      <c r="K325" s="37" t="s">
        <v>821</v>
      </c>
      <c r="L325" s="26">
        <v>1E-4</v>
      </c>
      <c r="M325" s="26">
        <v>1E-4</v>
      </c>
      <c r="N325" s="31">
        <v>0</v>
      </c>
      <c r="O325" s="34">
        <f t="shared" ref="O325:O388" si="5">(L325+M325)*N325</f>
        <v>0</v>
      </c>
    </row>
    <row r="326" spans="8:15" ht="14.25" customHeight="1">
      <c r="H326" s="35">
        <v>325</v>
      </c>
      <c r="I326" s="36" t="s">
        <v>686</v>
      </c>
      <c r="J326" s="37" t="s">
        <v>687</v>
      </c>
      <c r="K326" s="37" t="s">
        <v>821</v>
      </c>
      <c r="L326" s="26">
        <v>1E-4</v>
      </c>
      <c r="M326" s="26">
        <v>1E-4</v>
      </c>
      <c r="N326" s="31">
        <v>0</v>
      </c>
      <c r="O326" s="34">
        <f t="shared" si="5"/>
        <v>0</v>
      </c>
    </row>
    <row r="327" spans="8:15" ht="14.25" customHeight="1">
      <c r="H327" s="35">
        <v>326</v>
      </c>
      <c r="I327" s="36" t="s">
        <v>688</v>
      </c>
      <c r="J327" s="37" t="s">
        <v>689</v>
      </c>
      <c r="K327" s="37" t="s">
        <v>821</v>
      </c>
      <c r="L327" s="26">
        <v>1E-4</v>
      </c>
      <c r="M327" s="26">
        <v>1E-4</v>
      </c>
      <c r="N327" s="31">
        <v>0</v>
      </c>
      <c r="O327" s="34">
        <f t="shared" si="5"/>
        <v>0</v>
      </c>
    </row>
    <row r="328" spans="8:15" ht="14.25" customHeight="1">
      <c r="H328" s="35">
        <v>327</v>
      </c>
      <c r="I328" s="36" t="s">
        <v>690</v>
      </c>
      <c r="J328" s="37" t="s">
        <v>691</v>
      </c>
      <c r="K328" s="37" t="s">
        <v>821</v>
      </c>
      <c r="L328" s="26">
        <v>1E-4</v>
      </c>
      <c r="M328" s="26">
        <v>1E-4</v>
      </c>
      <c r="N328" s="31">
        <v>0</v>
      </c>
      <c r="O328" s="34">
        <f t="shared" si="5"/>
        <v>0</v>
      </c>
    </row>
    <row r="329" spans="8:15" ht="14.25" customHeight="1">
      <c r="H329" s="35">
        <v>328</v>
      </c>
      <c r="I329" s="36" t="s">
        <v>692</v>
      </c>
      <c r="J329" s="37" t="s">
        <v>693</v>
      </c>
      <c r="K329" s="37" t="s">
        <v>821</v>
      </c>
      <c r="L329" s="26">
        <v>1E-4</v>
      </c>
      <c r="M329" s="26">
        <v>1E-4</v>
      </c>
      <c r="N329" s="31">
        <v>0</v>
      </c>
      <c r="O329" s="34">
        <f t="shared" si="5"/>
        <v>0</v>
      </c>
    </row>
    <row r="330" spans="8:15" ht="14.25" customHeight="1">
      <c r="H330" s="35">
        <v>329</v>
      </c>
      <c r="I330" s="36" t="s">
        <v>694</v>
      </c>
      <c r="J330" s="37" t="s">
        <v>695</v>
      </c>
      <c r="K330" s="37" t="s">
        <v>821</v>
      </c>
      <c r="L330" s="26">
        <v>1E-4</v>
      </c>
      <c r="M330" s="26">
        <v>1E-4</v>
      </c>
      <c r="N330" s="31">
        <v>0</v>
      </c>
      <c r="O330" s="34">
        <f t="shared" si="5"/>
        <v>0</v>
      </c>
    </row>
    <row r="331" spans="8:15" ht="14.25" customHeight="1">
      <c r="H331" s="35">
        <v>330</v>
      </c>
      <c r="I331" s="36" t="s">
        <v>696</v>
      </c>
      <c r="J331" s="37" t="s">
        <v>697</v>
      </c>
      <c r="K331" s="37" t="s">
        <v>821</v>
      </c>
      <c r="L331" s="26">
        <v>1E-4</v>
      </c>
      <c r="M331" s="26">
        <v>1E-4</v>
      </c>
      <c r="N331" s="31">
        <v>0</v>
      </c>
      <c r="O331" s="34">
        <f t="shared" si="5"/>
        <v>0</v>
      </c>
    </row>
    <row r="332" spans="8:15" ht="14.25" customHeight="1">
      <c r="H332" s="35">
        <v>331</v>
      </c>
      <c r="I332" s="36" t="s">
        <v>698</v>
      </c>
      <c r="J332" s="37" t="s">
        <v>699</v>
      </c>
      <c r="K332" s="37" t="s">
        <v>821</v>
      </c>
      <c r="L332" s="26">
        <v>1E-4</v>
      </c>
      <c r="M332" s="26">
        <v>1E-4</v>
      </c>
      <c r="N332" s="31">
        <v>0</v>
      </c>
      <c r="O332" s="34">
        <f t="shared" si="5"/>
        <v>0</v>
      </c>
    </row>
    <row r="333" spans="8:15" ht="14.25" customHeight="1">
      <c r="H333" s="35">
        <v>332</v>
      </c>
      <c r="I333" s="36" t="s">
        <v>700</v>
      </c>
      <c r="J333" s="37" t="s">
        <v>701</v>
      </c>
      <c r="K333" s="37" t="s">
        <v>821</v>
      </c>
      <c r="L333" s="26">
        <v>1E-4</v>
      </c>
      <c r="M333" s="26">
        <v>1E-4</v>
      </c>
      <c r="N333" s="31">
        <v>0</v>
      </c>
      <c r="O333" s="34">
        <f t="shared" si="5"/>
        <v>0</v>
      </c>
    </row>
    <row r="334" spans="8:15" ht="14.25" customHeight="1">
      <c r="H334" s="35">
        <v>333</v>
      </c>
      <c r="I334" s="36" t="s">
        <v>702</v>
      </c>
      <c r="J334" s="37" t="s">
        <v>703</v>
      </c>
      <c r="K334" s="37" t="s">
        <v>821</v>
      </c>
      <c r="L334" s="26">
        <v>1E-4</v>
      </c>
      <c r="M334" s="26">
        <v>1E-4</v>
      </c>
      <c r="N334" s="31">
        <v>0</v>
      </c>
      <c r="O334" s="34">
        <f t="shared" si="5"/>
        <v>0</v>
      </c>
    </row>
    <row r="335" spans="8:15" ht="14.25" customHeight="1">
      <c r="H335" s="35">
        <v>334</v>
      </c>
      <c r="I335" s="36" t="s">
        <v>704</v>
      </c>
      <c r="J335" s="37" t="s">
        <v>705</v>
      </c>
      <c r="K335" s="37" t="s">
        <v>821</v>
      </c>
      <c r="L335" s="26">
        <v>1E-4</v>
      </c>
      <c r="M335" s="26">
        <v>1E-4</v>
      </c>
      <c r="N335" s="31">
        <v>0</v>
      </c>
      <c r="O335" s="34">
        <f t="shared" si="5"/>
        <v>0</v>
      </c>
    </row>
    <row r="336" spans="8:15" ht="14.25" customHeight="1">
      <c r="H336" s="35">
        <v>335</v>
      </c>
      <c r="I336" s="36" t="s">
        <v>706</v>
      </c>
      <c r="J336" s="37" t="s">
        <v>707</v>
      </c>
      <c r="K336" s="37" t="s">
        <v>821</v>
      </c>
      <c r="L336" s="26">
        <v>1E-4</v>
      </c>
      <c r="M336" s="26">
        <v>1E-4</v>
      </c>
      <c r="N336" s="31">
        <v>0</v>
      </c>
      <c r="O336" s="34">
        <f t="shared" si="5"/>
        <v>0</v>
      </c>
    </row>
    <row r="337" spans="8:15" ht="14.25" customHeight="1">
      <c r="H337" s="35">
        <v>336</v>
      </c>
      <c r="I337" s="36" t="s">
        <v>708</v>
      </c>
      <c r="J337" s="37" t="s">
        <v>709</v>
      </c>
      <c r="K337" s="37" t="s">
        <v>821</v>
      </c>
      <c r="L337" s="26">
        <v>1E-4</v>
      </c>
      <c r="M337" s="26">
        <v>1E-4</v>
      </c>
      <c r="N337" s="31">
        <v>0</v>
      </c>
      <c r="O337" s="34">
        <f t="shared" si="5"/>
        <v>0</v>
      </c>
    </row>
    <row r="338" spans="8:15" ht="14.25" customHeight="1">
      <c r="H338" s="35">
        <v>337</v>
      </c>
      <c r="I338" s="36" t="s">
        <v>710</v>
      </c>
      <c r="J338" s="37" t="s">
        <v>711</v>
      </c>
      <c r="K338" s="37" t="s">
        <v>821</v>
      </c>
      <c r="L338" s="26">
        <v>1E-4</v>
      </c>
      <c r="M338" s="26">
        <v>1E-4</v>
      </c>
      <c r="N338" s="31">
        <v>0</v>
      </c>
      <c r="O338" s="34">
        <f t="shared" si="5"/>
        <v>0</v>
      </c>
    </row>
    <row r="339" spans="8:15" ht="14.25" customHeight="1">
      <c r="H339" s="35">
        <v>338</v>
      </c>
      <c r="I339" s="36" t="s">
        <v>712</v>
      </c>
      <c r="J339" s="37" t="s">
        <v>713</v>
      </c>
      <c r="K339" s="37" t="s">
        <v>821</v>
      </c>
      <c r="L339" s="26">
        <v>1E-4</v>
      </c>
      <c r="M339" s="26">
        <v>1E-4</v>
      </c>
      <c r="N339" s="31">
        <v>0</v>
      </c>
      <c r="O339" s="34">
        <f t="shared" si="5"/>
        <v>0</v>
      </c>
    </row>
    <row r="340" spans="8:15" ht="14.25" customHeight="1">
      <c r="H340" s="35">
        <v>339</v>
      </c>
      <c r="I340" s="36" t="s">
        <v>714</v>
      </c>
      <c r="J340" s="37" t="s">
        <v>715</v>
      </c>
      <c r="K340" s="37" t="s">
        <v>821</v>
      </c>
      <c r="L340" s="26">
        <v>1E-4</v>
      </c>
      <c r="M340" s="26">
        <v>1E-4</v>
      </c>
      <c r="N340" s="31">
        <v>0</v>
      </c>
      <c r="O340" s="34">
        <f t="shared" si="5"/>
        <v>0</v>
      </c>
    </row>
    <row r="341" spans="8:15" ht="14.25" customHeight="1">
      <c r="H341" s="35">
        <v>340</v>
      </c>
      <c r="I341" s="36" t="s">
        <v>716</v>
      </c>
      <c r="J341" s="37" t="s">
        <v>717</v>
      </c>
      <c r="K341" s="37" t="s">
        <v>821</v>
      </c>
      <c r="L341" s="26">
        <v>1E-4</v>
      </c>
      <c r="M341" s="26">
        <v>1E-4</v>
      </c>
      <c r="N341" s="31">
        <v>0</v>
      </c>
      <c r="O341" s="34">
        <f t="shared" si="5"/>
        <v>0</v>
      </c>
    </row>
    <row r="342" spans="8:15" ht="14.25" customHeight="1">
      <c r="H342" s="35">
        <v>341</v>
      </c>
      <c r="I342" s="36" t="s">
        <v>718</v>
      </c>
      <c r="J342" s="37" t="s">
        <v>719</v>
      </c>
      <c r="K342" s="37" t="s">
        <v>821</v>
      </c>
      <c r="L342" s="26">
        <v>1E-4</v>
      </c>
      <c r="M342" s="26">
        <v>1E-4</v>
      </c>
      <c r="N342" s="31">
        <v>0</v>
      </c>
      <c r="O342" s="34">
        <f t="shared" si="5"/>
        <v>0</v>
      </c>
    </row>
    <row r="343" spans="8:15" ht="14.25" customHeight="1">
      <c r="H343" s="35">
        <v>342</v>
      </c>
      <c r="I343" s="36" t="s">
        <v>720</v>
      </c>
      <c r="J343" s="37" t="s">
        <v>721</v>
      </c>
      <c r="K343" s="37" t="s">
        <v>821</v>
      </c>
      <c r="L343" s="26">
        <v>1E-4</v>
      </c>
      <c r="M343" s="26">
        <v>1E-4</v>
      </c>
      <c r="N343" s="31">
        <v>0</v>
      </c>
      <c r="O343" s="34">
        <f t="shared" si="5"/>
        <v>0</v>
      </c>
    </row>
    <row r="344" spans="8:15" ht="14.25" customHeight="1">
      <c r="H344" s="35">
        <v>343</v>
      </c>
      <c r="I344" s="36" t="s">
        <v>722</v>
      </c>
      <c r="J344" s="37" t="s">
        <v>723</v>
      </c>
      <c r="K344" s="37" t="s">
        <v>821</v>
      </c>
      <c r="L344" s="26">
        <v>1E-4</v>
      </c>
      <c r="M344" s="26">
        <v>1E-4</v>
      </c>
      <c r="N344" s="31">
        <v>0</v>
      </c>
      <c r="O344" s="34">
        <f t="shared" si="5"/>
        <v>0</v>
      </c>
    </row>
    <row r="345" spans="8:15" ht="14.25" customHeight="1">
      <c r="H345" s="35">
        <v>344</v>
      </c>
      <c r="I345" s="36" t="s">
        <v>724</v>
      </c>
      <c r="J345" s="37" t="s">
        <v>725</v>
      </c>
      <c r="K345" s="37" t="s">
        <v>821</v>
      </c>
      <c r="L345" s="26">
        <v>1E-4</v>
      </c>
      <c r="M345" s="26">
        <v>1E-4</v>
      </c>
      <c r="N345" s="31">
        <v>0</v>
      </c>
      <c r="O345" s="34">
        <f t="shared" si="5"/>
        <v>0</v>
      </c>
    </row>
    <row r="346" spans="8:15" ht="14.25" customHeight="1">
      <c r="H346" s="35">
        <v>345</v>
      </c>
      <c r="I346" s="36" t="s">
        <v>726</v>
      </c>
      <c r="J346" s="37" t="s">
        <v>727</v>
      </c>
      <c r="K346" s="37" t="s">
        <v>821</v>
      </c>
      <c r="L346" s="26">
        <v>1E-4</v>
      </c>
      <c r="M346" s="26">
        <v>1E-4</v>
      </c>
      <c r="N346" s="31">
        <v>0</v>
      </c>
      <c r="O346" s="34">
        <f t="shared" si="5"/>
        <v>0</v>
      </c>
    </row>
    <row r="347" spans="8:15" ht="14.25" customHeight="1">
      <c r="H347" s="35">
        <v>346</v>
      </c>
      <c r="I347" s="36" t="s">
        <v>728</v>
      </c>
      <c r="J347" s="37" t="s">
        <v>729</v>
      </c>
      <c r="K347" s="37" t="s">
        <v>821</v>
      </c>
      <c r="L347" s="26">
        <v>1E-4</v>
      </c>
      <c r="M347" s="26">
        <v>1E-4</v>
      </c>
      <c r="N347" s="31">
        <v>0</v>
      </c>
      <c r="O347" s="34">
        <f t="shared" si="5"/>
        <v>0</v>
      </c>
    </row>
    <row r="348" spans="8:15" ht="14.25" customHeight="1">
      <c r="H348" s="35">
        <v>347</v>
      </c>
      <c r="I348" s="36" t="s">
        <v>730</v>
      </c>
      <c r="J348" s="37" t="s">
        <v>731</v>
      </c>
      <c r="K348" s="37" t="s">
        <v>821</v>
      </c>
      <c r="L348" s="26">
        <v>1E-4</v>
      </c>
      <c r="M348" s="26">
        <v>1E-4</v>
      </c>
      <c r="N348" s="31">
        <v>0</v>
      </c>
      <c r="O348" s="34">
        <f t="shared" si="5"/>
        <v>0</v>
      </c>
    </row>
    <row r="349" spans="8:15" ht="14.25" customHeight="1">
      <c r="H349" s="35">
        <v>348</v>
      </c>
      <c r="I349" s="36" t="s">
        <v>732</v>
      </c>
      <c r="J349" s="37" t="s">
        <v>733</v>
      </c>
      <c r="K349" s="37" t="s">
        <v>821</v>
      </c>
      <c r="L349" s="26">
        <v>1E-4</v>
      </c>
      <c r="M349" s="26">
        <v>1E-4</v>
      </c>
      <c r="N349" s="31">
        <f>1*D27</f>
        <v>1</v>
      </c>
      <c r="O349" s="34">
        <f t="shared" si="5"/>
        <v>2.0000000000000001E-4</v>
      </c>
    </row>
    <row r="350" spans="8:15" ht="14.25" customHeight="1">
      <c r="H350" s="35">
        <v>349</v>
      </c>
      <c r="I350" s="36" t="s">
        <v>1219</v>
      </c>
      <c r="J350" s="37" t="s">
        <v>734</v>
      </c>
      <c r="K350" s="37" t="s">
        <v>821</v>
      </c>
      <c r="L350" s="26">
        <v>1E-4</v>
      </c>
      <c r="M350" s="26">
        <v>1E-4</v>
      </c>
      <c r="N350" s="31">
        <f>100*D27</f>
        <v>100</v>
      </c>
      <c r="O350" s="34">
        <f t="shared" si="5"/>
        <v>0.02</v>
      </c>
    </row>
    <row r="351" spans="8:15" ht="14.25" customHeight="1">
      <c r="H351" s="35">
        <v>350</v>
      </c>
      <c r="I351" s="36" t="s">
        <v>735</v>
      </c>
      <c r="J351" s="37" t="s">
        <v>736</v>
      </c>
      <c r="K351" s="37" t="s">
        <v>821</v>
      </c>
      <c r="L351" s="26">
        <v>1E-4</v>
      </c>
      <c r="M351" s="26">
        <v>1E-4</v>
      </c>
      <c r="N351" s="31">
        <f>(5+10)*D19*D27</f>
        <v>150</v>
      </c>
      <c r="O351" s="34">
        <f t="shared" si="5"/>
        <v>3.0000000000000002E-2</v>
      </c>
    </row>
    <row r="352" spans="8:15" ht="14.25" customHeight="1">
      <c r="H352" s="35">
        <v>351</v>
      </c>
      <c r="I352" s="36" t="s">
        <v>737</v>
      </c>
      <c r="J352" s="37" t="s">
        <v>738</v>
      </c>
      <c r="K352" s="37" t="s">
        <v>821</v>
      </c>
      <c r="L352" s="26">
        <v>1E-4</v>
      </c>
      <c r="M352" s="26">
        <v>1E-4</v>
      </c>
      <c r="N352" s="31">
        <f>10*D27</f>
        <v>10</v>
      </c>
      <c r="O352" s="34">
        <f t="shared" si="5"/>
        <v>2E-3</v>
      </c>
    </row>
    <row r="353" spans="8:15" ht="14.25" customHeight="1">
      <c r="H353" s="35">
        <v>352</v>
      </c>
      <c r="I353" s="36" t="s">
        <v>739</v>
      </c>
      <c r="J353" s="37" t="s">
        <v>740</v>
      </c>
      <c r="K353" s="37" t="s">
        <v>821</v>
      </c>
      <c r="L353" s="26">
        <v>1E-4</v>
      </c>
      <c r="M353" s="26">
        <v>1E-4</v>
      </c>
      <c r="N353" s="31">
        <f>N196*D27</f>
        <v>750</v>
      </c>
      <c r="O353" s="34">
        <f t="shared" si="5"/>
        <v>0.15</v>
      </c>
    </row>
    <row r="354" spans="8:15" ht="14.25" customHeight="1">
      <c r="H354" s="35">
        <v>353</v>
      </c>
      <c r="I354" s="36" t="s">
        <v>1220</v>
      </c>
      <c r="J354" s="37" t="s">
        <v>741</v>
      </c>
      <c r="K354" s="37" t="s">
        <v>821</v>
      </c>
      <c r="L354" s="26">
        <v>1E-4</v>
      </c>
      <c r="M354" s="26">
        <v>1E-4</v>
      </c>
      <c r="N354" s="31">
        <f>N350*(5+10)*12*D19*D27</f>
        <v>180000</v>
      </c>
      <c r="O354" s="34">
        <f t="shared" si="5"/>
        <v>36</v>
      </c>
    </row>
    <row r="355" spans="8:15" ht="14.25" customHeight="1">
      <c r="H355" s="35">
        <v>354</v>
      </c>
      <c r="I355" s="36" t="s">
        <v>742</v>
      </c>
      <c r="J355" s="37" t="s">
        <v>743</v>
      </c>
      <c r="K355" s="37" t="s">
        <v>821</v>
      </c>
      <c r="L355" s="26">
        <v>1E-4</v>
      </c>
      <c r="M355" s="26">
        <v>1E-4</v>
      </c>
      <c r="N355" s="31">
        <f>N354*30*0.2</f>
        <v>1080000</v>
      </c>
      <c r="O355" s="34">
        <f t="shared" si="5"/>
        <v>216</v>
      </c>
    </row>
    <row r="356" spans="8:15" ht="14.25" customHeight="1">
      <c r="H356" s="35">
        <v>355</v>
      </c>
      <c r="I356" s="36" t="s">
        <v>744</v>
      </c>
      <c r="J356" s="37" t="s">
        <v>745</v>
      </c>
      <c r="K356" s="37" t="s">
        <v>821</v>
      </c>
      <c r="L356" s="26">
        <v>1E-4</v>
      </c>
      <c r="M356" s="26">
        <v>2.0000000000000001E-4</v>
      </c>
      <c r="N356" s="31">
        <f>N122*0.03*D27</f>
        <v>612000</v>
      </c>
      <c r="O356" s="34">
        <f t="shared" si="5"/>
        <v>183.60000000000002</v>
      </c>
    </row>
    <row r="357" spans="8:15" ht="14.25" customHeight="1">
      <c r="H357" s="35">
        <v>356</v>
      </c>
      <c r="I357" s="36" t="s">
        <v>746</v>
      </c>
      <c r="J357" s="37" t="s">
        <v>747</v>
      </c>
      <c r="K357" s="37" t="s">
        <v>821</v>
      </c>
      <c r="L357" s="26">
        <v>1E-4</v>
      </c>
      <c r="M357" s="26">
        <v>1E-4</v>
      </c>
      <c r="N357" s="31">
        <v>0</v>
      </c>
      <c r="O357" s="34">
        <f t="shared" si="5"/>
        <v>0</v>
      </c>
    </row>
    <row r="358" spans="8:15" ht="14.25" customHeight="1">
      <c r="H358" s="35">
        <v>357</v>
      </c>
      <c r="I358" s="36" t="s">
        <v>748</v>
      </c>
      <c r="J358" s="37" t="s">
        <v>749</v>
      </c>
      <c r="K358" s="37" t="s">
        <v>821</v>
      </c>
      <c r="L358" s="26">
        <v>1E-4</v>
      </c>
      <c r="M358" s="26">
        <v>1E-4</v>
      </c>
      <c r="N358" s="31">
        <v>0</v>
      </c>
      <c r="O358" s="34">
        <f t="shared" si="5"/>
        <v>0</v>
      </c>
    </row>
    <row r="359" spans="8:15" ht="14.25" customHeight="1">
      <c r="H359" s="35">
        <v>358</v>
      </c>
      <c r="I359" s="36" t="s">
        <v>750</v>
      </c>
      <c r="J359" s="37" t="s">
        <v>751</v>
      </c>
      <c r="K359" s="37" t="s">
        <v>821</v>
      </c>
      <c r="L359" s="26">
        <v>1E-4</v>
      </c>
      <c r="M359" s="26">
        <v>1E-4</v>
      </c>
      <c r="N359" s="31">
        <f>N56</f>
        <v>251</v>
      </c>
      <c r="O359" s="34">
        <f t="shared" si="5"/>
        <v>5.0200000000000002E-2</v>
      </c>
    </row>
    <row r="360" spans="8:15" ht="14.25" customHeight="1">
      <c r="H360" s="35">
        <v>359</v>
      </c>
      <c r="I360" s="36" t="s">
        <v>752</v>
      </c>
      <c r="J360" s="37" t="s">
        <v>753</v>
      </c>
      <c r="K360" s="37" t="s">
        <v>821</v>
      </c>
      <c r="L360" s="26">
        <v>1E-4</v>
      </c>
      <c r="M360" s="26">
        <v>1E-4</v>
      </c>
      <c r="N360" s="31">
        <v>0</v>
      </c>
      <c r="O360" s="34">
        <f t="shared" si="5"/>
        <v>0</v>
      </c>
    </row>
    <row r="361" spans="8:15" ht="14.25" customHeight="1">
      <c r="H361" s="35">
        <v>360</v>
      </c>
      <c r="I361" s="36" t="s">
        <v>754</v>
      </c>
      <c r="J361" s="37" t="s">
        <v>755</v>
      </c>
      <c r="K361" s="37" t="s">
        <v>821</v>
      </c>
      <c r="L361" s="26">
        <v>1E-4</v>
      </c>
      <c r="M361" s="26">
        <v>1E-4</v>
      </c>
      <c r="N361" s="31">
        <v>0</v>
      </c>
      <c r="O361" s="34">
        <f t="shared" si="5"/>
        <v>0</v>
      </c>
    </row>
    <row r="362" spans="8:15" ht="14.25" customHeight="1">
      <c r="H362" s="35">
        <v>361</v>
      </c>
      <c r="I362" s="36" t="s">
        <v>756</v>
      </c>
      <c r="J362" s="37" t="s">
        <v>757</v>
      </c>
      <c r="K362" s="37" t="s">
        <v>821</v>
      </c>
      <c r="L362" s="26">
        <v>1E-4</v>
      </c>
      <c r="M362" s="26">
        <v>1E-4</v>
      </c>
      <c r="N362" s="31">
        <v>0</v>
      </c>
      <c r="O362" s="34">
        <f t="shared" si="5"/>
        <v>0</v>
      </c>
    </row>
    <row r="363" spans="8:15" ht="14.25" customHeight="1">
      <c r="H363" s="35">
        <v>362</v>
      </c>
      <c r="I363" s="36" t="s">
        <v>758</v>
      </c>
      <c r="J363" s="37" t="s">
        <v>759</v>
      </c>
      <c r="K363" s="37" t="s">
        <v>821</v>
      </c>
      <c r="L363" s="26">
        <v>1E-4</v>
      </c>
      <c r="M363" s="26">
        <v>1E-4</v>
      </c>
      <c r="N363" s="31">
        <v>0</v>
      </c>
      <c r="O363" s="34">
        <f t="shared" si="5"/>
        <v>0</v>
      </c>
    </row>
    <row r="364" spans="8:15" ht="14.25" customHeight="1">
      <c r="H364" s="35">
        <v>363</v>
      </c>
      <c r="I364" s="36" t="s">
        <v>760</v>
      </c>
      <c r="J364" s="37" t="s">
        <v>761</v>
      </c>
      <c r="K364" s="37" t="s">
        <v>821</v>
      </c>
      <c r="L364" s="26">
        <v>1E-4</v>
      </c>
      <c r="M364" s="26">
        <v>2.0000000000000001E-4</v>
      </c>
      <c r="N364" s="31">
        <v>0</v>
      </c>
      <c r="O364" s="34">
        <f t="shared" si="5"/>
        <v>0</v>
      </c>
    </row>
    <row r="365" spans="8:15" ht="14.25" customHeight="1">
      <c r="H365" s="35">
        <v>364</v>
      </c>
      <c r="I365" s="36" t="s">
        <v>762</v>
      </c>
      <c r="J365" s="37" t="s">
        <v>763</v>
      </c>
      <c r="K365" s="37" t="s">
        <v>821</v>
      </c>
      <c r="L365" s="26">
        <v>1E-4</v>
      </c>
      <c r="M365" s="26">
        <v>1E-4</v>
      </c>
      <c r="N365" s="31">
        <v>0</v>
      </c>
      <c r="O365" s="34">
        <f t="shared" si="5"/>
        <v>0</v>
      </c>
    </row>
    <row r="366" spans="8:15" ht="14.25" customHeight="1">
      <c r="H366" s="35">
        <v>365</v>
      </c>
      <c r="I366" s="36" t="s">
        <v>764</v>
      </c>
      <c r="J366" s="37" t="s">
        <v>765</v>
      </c>
      <c r="K366" s="37" t="s">
        <v>821</v>
      </c>
      <c r="L366" s="26">
        <v>1E-4</v>
      </c>
      <c r="M366" s="26">
        <v>1E-4</v>
      </c>
      <c r="N366" s="31">
        <v>0</v>
      </c>
      <c r="O366" s="34">
        <f t="shared" si="5"/>
        <v>0</v>
      </c>
    </row>
    <row r="367" spans="8:15" ht="14.25" customHeight="1">
      <c r="H367" s="35">
        <v>366</v>
      </c>
      <c r="I367" s="36" t="s">
        <v>766</v>
      </c>
      <c r="J367" s="37" t="s">
        <v>767</v>
      </c>
      <c r="K367" s="37" t="s">
        <v>821</v>
      </c>
      <c r="L367" s="26">
        <v>1E-4</v>
      </c>
      <c r="M367" s="26">
        <v>1E-4</v>
      </c>
      <c r="N367" s="31">
        <v>0</v>
      </c>
      <c r="O367" s="34">
        <f t="shared" si="5"/>
        <v>0</v>
      </c>
    </row>
    <row r="368" spans="8:15" ht="14.25" customHeight="1">
      <c r="H368" s="35">
        <v>367</v>
      </c>
      <c r="I368" s="36" t="s">
        <v>768</v>
      </c>
      <c r="J368" s="37" t="s">
        <v>769</v>
      </c>
      <c r="K368" s="37" t="s">
        <v>821</v>
      </c>
      <c r="L368" s="26">
        <v>1E-4</v>
      </c>
      <c r="M368" s="26">
        <v>1E-4</v>
      </c>
      <c r="N368" s="31">
        <v>0</v>
      </c>
      <c r="O368" s="34">
        <f t="shared" si="5"/>
        <v>0</v>
      </c>
    </row>
    <row r="369" spans="8:15" ht="14.25" customHeight="1">
      <c r="H369" s="35">
        <v>368</v>
      </c>
      <c r="I369" s="36" t="s">
        <v>770</v>
      </c>
      <c r="J369" s="37" t="s">
        <v>771</v>
      </c>
      <c r="K369" s="37" t="s">
        <v>821</v>
      </c>
      <c r="L369" s="26">
        <v>1E-4</v>
      </c>
      <c r="M369" s="26">
        <v>1E-4</v>
      </c>
      <c r="N369" s="31">
        <v>0</v>
      </c>
      <c r="O369" s="34">
        <f t="shared" si="5"/>
        <v>0</v>
      </c>
    </row>
    <row r="370" spans="8:15" ht="14.25" customHeight="1">
      <c r="H370" s="35">
        <v>369</v>
      </c>
      <c r="I370" s="36" t="s">
        <v>772</v>
      </c>
      <c r="J370" s="37" t="s">
        <v>773</v>
      </c>
      <c r="K370" s="37" t="s">
        <v>821</v>
      </c>
      <c r="L370" s="26">
        <v>1E-4</v>
      </c>
      <c r="M370" s="26">
        <v>1E-4</v>
      </c>
      <c r="N370" s="31">
        <v>0</v>
      </c>
      <c r="O370" s="34">
        <f t="shared" si="5"/>
        <v>0</v>
      </c>
    </row>
    <row r="371" spans="8:15" ht="14.25" customHeight="1">
      <c r="H371" s="35">
        <v>370</v>
      </c>
      <c r="I371" s="36" t="s">
        <v>774</v>
      </c>
      <c r="J371" s="37" t="s">
        <v>775</v>
      </c>
      <c r="K371" s="37" t="s">
        <v>821</v>
      </c>
      <c r="L371" s="26">
        <v>1E-4</v>
      </c>
      <c r="M371" s="26">
        <v>1E-4</v>
      </c>
      <c r="N371" s="31">
        <v>0</v>
      </c>
      <c r="O371" s="34">
        <f t="shared" si="5"/>
        <v>0</v>
      </c>
    </row>
    <row r="372" spans="8:15" ht="14.25" customHeight="1">
      <c r="H372" s="35">
        <v>371</v>
      </c>
      <c r="I372" s="36" t="s">
        <v>776</v>
      </c>
      <c r="J372" s="37" t="s">
        <v>777</v>
      </c>
      <c r="K372" s="37" t="s">
        <v>821</v>
      </c>
      <c r="L372" s="26">
        <v>1E-4</v>
      </c>
      <c r="M372" s="26">
        <v>1E-4</v>
      </c>
      <c r="N372" s="31">
        <v>0</v>
      </c>
      <c r="O372" s="34">
        <f t="shared" si="5"/>
        <v>0</v>
      </c>
    </row>
    <row r="373" spans="8:15" ht="14.25" customHeight="1">
      <c r="H373" s="35">
        <v>372</v>
      </c>
      <c r="I373" s="36" t="s">
        <v>778</v>
      </c>
      <c r="J373" s="37" t="s">
        <v>779</v>
      </c>
      <c r="K373" s="37" t="s">
        <v>821</v>
      </c>
      <c r="L373" s="26">
        <v>1E-4</v>
      </c>
      <c r="M373" s="26">
        <v>1E-4</v>
      </c>
      <c r="N373" s="31">
        <v>0</v>
      </c>
      <c r="O373" s="34">
        <f t="shared" si="5"/>
        <v>0</v>
      </c>
    </row>
    <row r="374" spans="8:15" ht="14.25" customHeight="1">
      <c r="H374" s="35">
        <v>373</v>
      </c>
      <c r="I374" s="36" t="s">
        <v>780</v>
      </c>
      <c r="J374" s="37" t="s">
        <v>781</v>
      </c>
      <c r="K374" s="37" t="s">
        <v>821</v>
      </c>
      <c r="L374" s="26">
        <v>1E-4</v>
      </c>
      <c r="M374" s="26">
        <v>1E-4</v>
      </c>
      <c r="N374" s="31">
        <v>0</v>
      </c>
      <c r="O374" s="34">
        <f t="shared" si="5"/>
        <v>0</v>
      </c>
    </row>
    <row r="375" spans="8:15" ht="14.25" customHeight="1">
      <c r="H375" s="35">
        <v>374</v>
      </c>
      <c r="I375" s="36" t="s">
        <v>782</v>
      </c>
      <c r="J375" s="37" t="s">
        <v>783</v>
      </c>
      <c r="K375" s="37" t="s">
        <v>821</v>
      </c>
      <c r="L375" s="26">
        <v>1E-4</v>
      </c>
      <c r="M375" s="26">
        <v>1E-4</v>
      </c>
      <c r="N375" s="31">
        <v>0</v>
      </c>
      <c r="O375" s="34">
        <f t="shared" si="5"/>
        <v>0</v>
      </c>
    </row>
    <row r="376" spans="8:15" ht="14.25" customHeight="1">
      <c r="H376" s="35">
        <v>375</v>
      </c>
      <c r="I376" s="36" t="s">
        <v>784</v>
      </c>
      <c r="J376" s="37" t="s">
        <v>785</v>
      </c>
      <c r="K376" s="37" t="s">
        <v>821</v>
      </c>
      <c r="L376" s="26">
        <v>1E-4</v>
      </c>
      <c r="M376" s="26">
        <v>1E-4</v>
      </c>
      <c r="N376" s="31">
        <v>0</v>
      </c>
      <c r="O376" s="34">
        <f t="shared" si="5"/>
        <v>0</v>
      </c>
    </row>
    <row r="377" spans="8:15" ht="14.25" customHeight="1">
      <c r="H377" s="35">
        <v>376</v>
      </c>
      <c r="I377" s="36" t="s">
        <v>786</v>
      </c>
      <c r="J377" s="37" t="s">
        <v>787</v>
      </c>
      <c r="K377" s="37" t="s">
        <v>821</v>
      </c>
      <c r="L377" s="26">
        <v>1E-4</v>
      </c>
      <c r="M377" s="26">
        <v>1E-4</v>
      </c>
      <c r="N377" s="31">
        <v>0</v>
      </c>
      <c r="O377" s="34">
        <f t="shared" si="5"/>
        <v>0</v>
      </c>
    </row>
    <row r="378" spans="8:15" ht="14.25" customHeight="1">
      <c r="H378" s="35">
        <v>377</v>
      </c>
      <c r="I378" s="36" t="s">
        <v>788</v>
      </c>
      <c r="J378" s="37" t="s">
        <v>789</v>
      </c>
      <c r="K378" s="37" t="s">
        <v>821</v>
      </c>
      <c r="L378" s="26">
        <v>1E-4</v>
      </c>
      <c r="M378" s="26">
        <v>1E-4</v>
      </c>
      <c r="N378" s="31">
        <v>0</v>
      </c>
      <c r="O378" s="34">
        <f t="shared" si="5"/>
        <v>0</v>
      </c>
    </row>
    <row r="379" spans="8:15" ht="14.25" customHeight="1">
      <c r="H379" s="35">
        <v>378</v>
      </c>
      <c r="I379" s="36" t="s">
        <v>790</v>
      </c>
      <c r="J379" s="37" t="s">
        <v>791</v>
      </c>
      <c r="K379" s="37" t="s">
        <v>821</v>
      </c>
      <c r="L379" s="26">
        <v>1E-4</v>
      </c>
      <c r="M379" s="26">
        <v>1E-4</v>
      </c>
      <c r="N379" s="31">
        <v>0</v>
      </c>
      <c r="O379" s="34">
        <f t="shared" si="5"/>
        <v>0</v>
      </c>
    </row>
    <row r="380" spans="8:15" ht="14.25" customHeight="1">
      <c r="H380" s="35">
        <v>379</v>
      </c>
      <c r="I380" s="36" t="s">
        <v>792</v>
      </c>
      <c r="J380" s="37" t="s">
        <v>793</v>
      </c>
      <c r="K380" s="37" t="s">
        <v>821</v>
      </c>
      <c r="L380" s="26">
        <v>1E-4</v>
      </c>
      <c r="M380" s="26">
        <v>1E-4</v>
      </c>
      <c r="N380" s="31">
        <v>0</v>
      </c>
      <c r="O380" s="34">
        <f t="shared" si="5"/>
        <v>0</v>
      </c>
    </row>
    <row r="381" spans="8:15" ht="14.25" customHeight="1">
      <c r="H381" s="35">
        <v>380</v>
      </c>
      <c r="I381" s="36" t="s">
        <v>794</v>
      </c>
      <c r="J381" s="37" t="s">
        <v>795</v>
      </c>
      <c r="K381" s="37" t="s">
        <v>821</v>
      </c>
      <c r="L381" s="26">
        <v>1E-4</v>
      </c>
      <c r="M381" s="26">
        <v>1E-4</v>
      </c>
      <c r="N381" s="31">
        <v>0</v>
      </c>
      <c r="O381" s="34">
        <f t="shared" si="5"/>
        <v>0</v>
      </c>
    </row>
    <row r="382" spans="8:15" ht="14.25" customHeight="1">
      <c r="H382" s="35">
        <v>381</v>
      </c>
      <c r="I382" s="36" t="s">
        <v>796</v>
      </c>
      <c r="J382" s="37" t="s">
        <v>797</v>
      </c>
      <c r="K382" s="37" t="s">
        <v>821</v>
      </c>
      <c r="L382" s="26">
        <v>1E-4</v>
      </c>
      <c r="M382" s="26">
        <v>1E-4</v>
      </c>
      <c r="N382" s="31">
        <v>0</v>
      </c>
      <c r="O382" s="34">
        <f t="shared" si="5"/>
        <v>0</v>
      </c>
    </row>
    <row r="383" spans="8:15" ht="14.25" customHeight="1">
      <c r="H383" s="35">
        <v>382</v>
      </c>
      <c r="I383" s="36" t="s">
        <v>798</v>
      </c>
      <c r="J383" s="37" t="s">
        <v>799</v>
      </c>
      <c r="K383" s="37" t="s">
        <v>821</v>
      </c>
      <c r="L383" s="26">
        <v>1E-4</v>
      </c>
      <c r="M383" s="26">
        <v>1E-4</v>
      </c>
      <c r="N383" s="31">
        <v>0</v>
      </c>
      <c r="O383" s="34">
        <f t="shared" si="5"/>
        <v>0</v>
      </c>
    </row>
    <row r="384" spans="8:15" ht="14.25" customHeight="1">
      <c r="H384" s="35">
        <v>383</v>
      </c>
      <c r="I384" s="36" t="s">
        <v>800</v>
      </c>
      <c r="J384" s="37" t="s">
        <v>801</v>
      </c>
      <c r="K384" s="37" t="s">
        <v>821</v>
      </c>
      <c r="L384" s="26">
        <v>1E-4</v>
      </c>
      <c r="M384" s="26">
        <v>1E-4</v>
      </c>
      <c r="N384" s="31">
        <v>0</v>
      </c>
      <c r="O384" s="34">
        <f t="shared" si="5"/>
        <v>0</v>
      </c>
    </row>
    <row r="385" spans="8:15" ht="14.25" customHeight="1">
      <c r="H385" s="35">
        <v>384</v>
      </c>
      <c r="I385" s="36" t="s">
        <v>802</v>
      </c>
      <c r="J385" s="37" t="s">
        <v>803</v>
      </c>
      <c r="K385" s="37" t="s">
        <v>821</v>
      </c>
      <c r="L385" s="26">
        <v>1E-4</v>
      </c>
      <c r="M385" s="26">
        <v>1E-4</v>
      </c>
      <c r="N385" s="31">
        <v>0</v>
      </c>
      <c r="O385" s="34">
        <f t="shared" si="5"/>
        <v>0</v>
      </c>
    </row>
    <row r="386" spans="8:15" ht="14.25" customHeight="1">
      <c r="H386" s="35">
        <v>385</v>
      </c>
      <c r="I386" s="36" t="s">
        <v>804</v>
      </c>
      <c r="J386" s="37" t="s">
        <v>805</v>
      </c>
      <c r="K386" s="37" t="s">
        <v>821</v>
      </c>
      <c r="L386" s="26">
        <v>1E-4</v>
      </c>
      <c r="M386" s="26">
        <v>1E-4</v>
      </c>
      <c r="N386" s="31">
        <v>0</v>
      </c>
      <c r="O386" s="34">
        <f t="shared" si="5"/>
        <v>0</v>
      </c>
    </row>
    <row r="387" spans="8:15" ht="14.25" customHeight="1">
      <c r="H387" s="35">
        <v>386</v>
      </c>
      <c r="I387" s="36" t="s">
        <v>806</v>
      </c>
      <c r="J387" s="37" t="s">
        <v>807</v>
      </c>
      <c r="K387" s="37" t="s">
        <v>821</v>
      </c>
      <c r="L387" s="26">
        <v>1E-4</v>
      </c>
      <c r="M387" s="26">
        <v>1E-4</v>
      </c>
      <c r="N387" s="31">
        <v>0</v>
      </c>
      <c r="O387" s="34">
        <f t="shared" si="5"/>
        <v>0</v>
      </c>
    </row>
    <row r="388" spans="8:15" ht="14.25" customHeight="1">
      <c r="H388" s="35">
        <v>387</v>
      </c>
      <c r="I388" s="36" t="s">
        <v>808</v>
      </c>
      <c r="J388" s="37" t="s">
        <v>809</v>
      </c>
      <c r="K388" s="37" t="s">
        <v>821</v>
      </c>
      <c r="L388" s="26">
        <v>1E-4</v>
      </c>
      <c r="M388" s="26">
        <v>1E-4</v>
      </c>
      <c r="N388" s="31">
        <v>0</v>
      </c>
      <c r="O388" s="34">
        <f t="shared" si="5"/>
        <v>0</v>
      </c>
    </row>
    <row r="389" spans="8:15" ht="14.25" customHeight="1">
      <c r="H389" s="35">
        <v>388</v>
      </c>
      <c r="I389" s="36" t="s">
        <v>810</v>
      </c>
      <c r="J389" s="37" t="s">
        <v>811</v>
      </c>
      <c r="K389" s="37" t="s">
        <v>821</v>
      </c>
      <c r="L389" s="26">
        <v>1E-4</v>
      </c>
      <c r="M389" s="26">
        <v>1E-4</v>
      </c>
      <c r="N389" s="31">
        <v>0</v>
      </c>
      <c r="O389" s="34">
        <f t="shared" ref="O389:O452" si="6">(L389+M389)*N389</f>
        <v>0</v>
      </c>
    </row>
    <row r="390" spans="8:15" ht="14.25" customHeight="1">
      <c r="H390" s="35">
        <v>389</v>
      </c>
      <c r="I390" s="36" t="s">
        <v>812</v>
      </c>
      <c r="J390" s="37" t="s">
        <v>813</v>
      </c>
      <c r="K390" s="37" t="s">
        <v>821</v>
      </c>
      <c r="L390" s="26">
        <v>1E-4</v>
      </c>
      <c r="M390" s="26">
        <v>1E-4</v>
      </c>
      <c r="N390" s="31">
        <v>0</v>
      </c>
      <c r="O390" s="34">
        <f t="shared" si="6"/>
        <v>0</v>
      </c>
    </row>
    <row r="391" spans="8:15" ht="14.25" customHeight="1">
      <c r="H391" s="35">
        <v>390</v>
      </c>
      <c r="I391" s="36" t="s">
        <v>814</v>
      </c>
      <c r="J391" s="37" t="s">
        <v>815</v>
      </c>
      <c r="K391" s="37" t="s">
        <v>820</v>
      </c>
      <c r="L391" s="32">
        <v>1E-4</v>
      </c>
      <c r="M391" s="32">
        <v>1E-4</v>
      </c>
      <c r="N391" s="31">
        <v>5</v>
      </c>
      <c r="O391" s="34">
        <f t="shared" si="6"/>
        <v>1E-3</v>
      </c>
    </row>
    <row r="392" spans="8:15" ht="14.25" customHeight="1">
      <c r="H392" s="35">
        <v>391</v>
      </c>
      <c r="I392" s="36" t="s">
        <v>816</v>
      </c>
      <c r="J392" s="37" t="s">
        <v>817</v>
      </c>
      <c r="K392" s="37" t="s">
        <v>820</v>
      </c>
      <c r="L392" s="32">
        <v>1E-4</v>
      </c>
      <c r="M392" s="32">
        <v>1E-4</v>
      </c>
      <c r="N392" s="31">
        <v>0</v>
      </c>
      <c r="O392" s="34">
        <f t="shared" si="6"/>
        <v>0</v>
      </c>
    </row>
    <row r="393" spans="8:15" ht="14.25" customHeight="1">
      <c r="H393" s="35">
        <v>392</v>
      </c>
      <c r="I393" s="36" t="s">
        <v>818</v>
      </c>
      <c r="J393" s="37" t="s">
        <v>819</v>
      </c>
      <c r="K393" s="37" t="s">
        <v>562</v>
      </c>
      <c r="L393" s="32">
        <v>1E-4</v>
      </c>
      <c r="M393" s="32">
        <v>1E-4</v>
      </c>
      <c r="N393" s="31">
        <v>120</v>
      </c>
      <c r="O393" s="34">
        <f t="shared" si="6"/>
        <v>2.4E-2</v>
      </c>
    </row>
    <row r="394" spans="8:15" ht="14.25" customHeight="1">
      <c r="H394" s="35">
        <v>393</v>
      </c>
      <c r="I394" s="36" t="s">
        <v>877</v>
      </c>
      <c r="J394" s="37" t="s">
        <v>822</v>
      </c>
      <c r="K394" s="37" t="s">
        <v>821</v>
      </c>
      <c r="L394" s="32">
        <v>1E-4</v>
      </c>
      <c r="M394" s="32">
        <v>1E-4</v>
      </c>
      <c r="N394" s="31">
        <v>10</v>
      </c>
      <c r="O394" s="34">
        <f t="shared" si="6"/>
        <v>2E-3</v>
      </c>
    </row>
    <row r="395" spans="8:15" ht="14.25" customHeight="1">
      <c r="H395" s="35">
        <v>394</v>
      </c>
      <c r="I395" s="36" t="s">
        <v>823</v>
      </c>
      <c r="J395" s="37" t="s">
        <v>824</v>
      </c>
      <c r="K395" s="37" t="s">
        <v>821</v>
      </c>
      <c r="L395" s="32">
        <v>1E-4</v>
      </c>
      <c r="M395" s="32">
        <v>1E-4</v>
      </c>
      <c r="N395" s="31">
        <f>N394</f>
        <v>10</v>
      </c>
      <c r="O395" s="34">
        <f t="shared" si="6"/>
        <v>2E-3</v>
      </c>
    </row>
    <row r="396" spans="8:15" ht="14.25" customHeight="1">
      <c r="H396" s="35">
        <v>395</v>
      </c>
      <c r="I396" s="36" t="s">
        <v>878</v>
      </c>
      <c r="J396" s="37" t="s">
        <v>825</v>
      </c>
      <c r="K396" s="37" t="s">
        <v>821</v>
      </c>
      <c r="L396" s="32">
        <v>1E-4</v>
      </c>
      <c r="M396" s="32">
        <v>1E-4</v>
      </c>
      <c r="N396" s="31">
        <v>30</v>
      </c>
      <c r="O396" s="34">
        <f t="shared" si="6"/>
        <v>6.0000000000000001E-3</v>
      </c>
    </row>
    <row r="397" spans="8:15" ht="14.25" customHeight="1">
      <c r="H397" s="35">
        <v>396</v>
      </c>
      <c r="I397" s="36" t="s">
        <v>826</v>
      </c>
      <c r="J397" s="37" t="s">
        <v>827</v>
      </c>
      <c r="K397" s="37" t="s">
        <v>821</v>
      </c>
      <c r="L397" s="32">
        <v>1E-4</v>
      </c>
      <c r="M397" s="32">
        <v>1E-4</v>
      </c>
      <c r="N397" s="31">
        <f>N396</f>
        <v>30</v>
      </c>
      <c r="O397" s="34">
        <f t="shared" si="6"/>
        <v>6.0000000000000001E-3</v>
      </c>
    </row>
    <row r="398" spans="8:15" ht="14.25" customHeight="1">
      <c r="H398" s="35">
        <v>397</v>
      </c>
      <c r="I398" s="36" t="s">
        <v>828</v>
      </c>
      <c r="J398" s="37" t="s">
        <v>829</v>
      </c>
      <c r="K398" s="37" t="s">
        <v>821</v>
      </c>
      <c r="L398" s="32">
        <v>1E-4</v>
      </c>
      <c r="M398" s="32">
        <v>1E-4</v>
      </c>
      <c r="N398" s="31">
        <f>D41*0.3*10</f>
        <v>1500</v>
      </c>
      <c r="O398" s="34">
        <f t="shared" si="6"/>
        <v>0.3</v>
      </c>
    </row>
    <row r="399" spans="8:15" ht="14.25" customHeight="1">
      <c r="H399" s="35">
        <v>398</v>
      </c>
      <c r="I399" s="36" t="s">
        <v>879</v>
      </c>
      <c r="J399" s="37" t="s">
        <v>830</v>
      </c>
      <c r="K399" s="37" t="s">
        <v>821</v>
      </c>
      <c r="L399" s="32">
        <v>1E-4</v>
      </c>
      <c r="M399" s="32">
        <v>1E-4</v>
      </c>
      <c r="N399" s="31">
        <v>12</v>
      </c>
      <c r="O399" s="34">
        <f t="shared" si="6"/>
        <v>2.4000000000000002E-3</v>
      </c>
    </row>
    <row r="400" spans="8:15" ht="14.25" customHeight="1">
      <c r="H400" s="35">
        <v>399</v>
      </c>
      <c r="I400" s="36" t="s">
        <v>831</v>
      </c>
      <c r="J400" s="37" t="s">
        <v>832</v>
      </c>
      <c r="K400" s="37" t="s">
        <v>821</v>
      </c>
      <c r="L400" s="32">
        <v>1E-4</v>
      </c>
      <c r="M400" s="32">
        <v>1E-4</v>
      </c>
      <c r="N400" s="31">
        <f>N399</f>
        <v>12</v>
      </c>
      <c r="O400" s="34">
        <f t="shared" si="6"/>
        <v>2.4000000000000002E-3</v>
      </c>
    </row>
    <row r="401" spans="8:15" ht="14.25" customHeight="1">
      <c r="H401" s="35">
        <v>400</v>
      </c>
      <c r="I401" s="36" t="s">
        <v>833</v>
      </c>
      <c r="J401" s="37" t="s">
        <v>834</v>
      </c>
      <c r="K401" s="37" t="s">
        <v>821</v>
      </c>
      <c r="L401" s="32">
        <v>1E-4</v>
      </c>
      <c r="M401" s="32">
        <v>1E-4</v>
      </c>
      <c r="N401" s="31">
        <v>180</v>
      </c>
      <c r="O401" s="34">
        <f t="shared" si="6"/>
        <v>3.6000000000000004E-2</v>
      </c>
    </row>
    <row r="402" spans="8:15" ht="14.25" customHeight="1">
      <c r="H402" s="35">
        <v>401</v>
      </c>
      <c r="I402" s="36" t="s">
        <v>835</v>
      </c>
      <c r="J402" s="37" t="s">
        <v>836</v>
      </c>
      <c r="K402" s="37" t="s">
        <v>821</v>
      </c>
      <c r="L402" s="32">
        <v>1E-4</v>
      </c>
      <c r="M402" s="32">
        <v>1E-4</v>
      </c>
      <c r="N402" s="31">
        <v>1</v>
      </c>
      <c r="O402" s="34">
        <f t="shared" si="6"/>
        <v>2.0000000000000001E-4</v>
      </c>
    </row>
    <row r="403" spans="8:15" ht="14.25" customHeight="1">
      <c r="H403" s="35">
        <v>402</v>
      </c>
      <c r="I403" s="36" t="s">
        <v>837</v>
      </c>
      <c r="J403" s="37" t="s">
        <v>838</v>
      </c>
      <c r="K403" s="37" t="s">
        <v>821</v>
      </c>
      <c r="L403" s="32">
        <v>1E-4</v>
      </c>
      <c r="M403" s="32">
        <v>1E-4</v>
      </c>
      <c r="N403" s="31">
        <v>1</v>
      </c>
      <c r="O403" s="34">
        <f t="shared" si="6"/>
        <v>2.0000000000000001E-4</v>
      </c>
    </row>
    <row r="404" spans="8:15" ht="14.25" customHeight="1">
      <c r="H404" s="35">
        <v>403</v>
      </c>
      <c r="I404" s="36" t="s">
        <v>839</v>
      </c>
      <c r="J404" s="37" t="s">
        <v>840</v>
      </c>
      <c r="K404" s="37" t="s">
        <v>821</v>
      </c>
      <c r="L404" s="32">
        <v>1E-4</v>
      </c>
      <c r="M404" s="32">
        <v>1E-4</v>
      </c>
      <c r="N404" s="31">
        <v>1</v>
      </c>
      <c r="O404" s="34">
        <f t="shared" si="6"/>
        <v>2.0000000000000001E-4</v>
      </c>
    </row>
    <row r="405" spans="8:15" ht="14.25" customHeight="1">
      <c r="H405" s="35">
        <v>404</v>
      </c>
      <c r="I405" s="36" t="s">
        <v>841</v>
      </c>
      <c r="J405" s="37" t="s">
        <v>842</v>
      </c>
      <c r="K405" s="37" t="s">
        <v>821</v>
      </c>
      <c r="L405" s="32">
        <v>1E-4</v>
      </c>
      <c r="M405" s="32">
        <v>1E-4</v>
      </c>
      <c r="N405" s="31">
        <v>2</v>
      </c>
      <c r="O405" s="34">
        <f t="shared" si="6"/>
        <v>4.0000000000000002E-4</v>
      </c>
    </row>
    <row r="406" spans="8:15" ht="14.25" customHeight="1">
      <c r="H406" s="35">
        <v>405</v>
      </c>
      <c r="I406" s="36" t="s">
        <v>843</v>
      </c>
      <c r="J406" s="37" t="s">
        <v>844</v>
      </c>
      <c r="K406" s="37" t="s">
        <v>821</v>
      </c>
      <c r="L406" s="32">
        <v>1E-4</v>
      </c>
      <c r="M406" s="32">
        <v>1E-4</v>
      </c>
      <c r="N406" s="31">
        <v>1</v>
      </c>
      <c r="O406" s="34">
        <f t="shared" si="6"/>
        <v>2.0000000000000001E-4</v>
      </c>
    </row>
    <row r="407" spans="8:15" ht="14.25" customHeight="1">
      <c r="H407" s="35">
        <v>406</v>
      </c>
      <c r="I407" s="36" t="s">
        <v>845</v>
      </c>
      <c r="J407" s="37" t="s">
        <v>846</v>
      </c>
      <c r="K407" s="37" t="s">
        <v>821</v>
      </c>
      <c r="L407" s="32">
        <v>1E-4</v>
      </c>
      <c r="M407" s="32">
        <v>1E-4</v>
      </c>
      <c r="N407" s="31">
        <v>0</v>
      </c>
      <c r="O407" s="34">
        <f t="shared" si="6"/>
        <v>0</v>
      </c>
    </row>
    <row r="408" spans="8:15" ht="14.25" customHeight="1">
      <c r="H408" s="35">
        <v>407</v>
      </c>
      <c r="I408" s="36" t="s">
        <v>847</v>
      </c>
      <c r="J408" s="37" t="s">
        <v>848</v>
      </c>
      <c r="K408" s="37" t="s">
        <v>821</v>
      </c>
      <c r="L408" s="32">
        <v>1E-4</v>
      </c>
      <c r="M408" s="32">
        <v>1E-4</v>
      </c>
      <c r="N408" s="31">
        <v>150</v>
      </c>
      <c r="O408" s="34">
        <f t="shared" si="6"/>
        <v>3.0000000000000002E-2</v>
      </c>
    </row>
    <row r="409" spans="8:15" ht="14.25" customHeight="1">
      <c r="H409" s="35">
        <v>408</v>
      </c>
      <c r="I409" s="36" t="s">
        <v>849</v>
      </c>
      <c r="J409" s="37" t="s">
        <v>850</v>
      </c>
      <c r="K409" s="37" t="s">
        <v>821</v>
      </c>
      <c r="L409" s="32">
        <v>1E-4</v>
      </c>
      <c r="M409" s="32">
        <v>1E-4</v>
      </c>
      <c r="N409" s="31">
        <v>300</v>
      </c>
      <c r="O409" s="34">
        <f t="shared" si="6"/>
        <v>6.0000000000000005E-2</v>
      </c>
    </row>
    <row r="410" spans="8:15" ht="14.25" customHeight="1">
      <c r="H410" s="35">
        <v>409</v>
      </c>
      <c r="I410" s="36" t="s">
        <v>851</v>
      </c>
      <c r="J410" s="37" t="s">
        <v>852</v>
      </c>
      <c r="K410" s="37" t="s">
        <v>821</v>
      </c>
      <c r="L410" s="32">
        <v>1E-4</v>
      </c>
      <c r="M410" s="32">
        <v>1E-4</v>
      </c>
      <c r="N410" s="31">
        <v>300</v>
      </c>
      <c r="O410" s="34">
        <f t="shared" si="6"/>
        <v>6.0000000000000005E-2</v>
      </c>
    </row>
    <row r="411" spans="8:15" ht="14.25" customHeight="1">
      <c r="H411" s="35">
        <v>410</v>
      </c>
      <c r="I411" s="36" t="s">
        <v>853</v>
      </c>
      <c r="J411" s="37" t="s">
        <v>854</v>
      </c>
      <c r="K411" s="37" t="s">
        <v>821</v>
      </c>
      <c r="L411" s="32">
        <v>1E-4</v>
      </c>
      <c r="M411" s="32">
        <v>1E-4</v>
      </c>
      <c r="N411" s="31">
        <f>200*5+100*D35</f>
        <v>1500</v>
      </c>
      <c r="O411" s="34">
        <f t="shared" si="6"/>
        <v>0.3</v>
      </c>
    </row>
    <row r="412" spans="8:15" ht="14.25" customHeight="1">
      <c r="H412" s="35">
        <v>411</v>
      </c>
      <c r="I412" s="36" t="s">
        <v>855</v>
      </c>
      <c r="J412" s="37" t="s">
        <v>856</v>
      </c>
      <c r="K412" s="37" t="s">
        <v>821</v>
      </c>
      <c r="L412" s="32">
        <v>1E-4</v>
      </c>
      <c r="M412" s="32">
        <v>1E-4</v>
      </c>
      <c r="N412" s="31">
        <v>0</v>
      </c>
      <c r="O412" s="34">
        <f t="shared" si="6"/>
        <v>0</v>
      </c>
    </row>
    <row r="413" spans="8:15" ht="14.25" customHeight="1">
      <c r="H413" s="35">
        <v>412</v>
      </c>
      <c r="I413" s="36" t="s">
        <v>857</v>
      </c>
      <c r="J413" s="37" t="s">
        <v>858</v>
      </c>
      <c r="K413" s="37" t="s">
        <v>821</v>
      </c>
      <c r="L413" s="32">
        <v>1E-4</v>
      </c>
      <c r="M413" s="32">
        <v>1E-4</v>
      </c>
      <c r="N413" s="31">
        <f>N168*D63</f>
        <v>0</v>
      </c>
      <c r="O413" s="34">
        <f t="shared" si="6"/>
        <v>0</v>
      </c>
    </row>
    <row r="414" spans="8:15" ht="14.25" customHeight="1">
      <c r="H414" s="35">
        <v>413</v>
      </c>
      <c r="I414" s="36" t="s">
        <v>859</v>
      </c>
      <c r="J414" s="37" t="s">
        <v>860</v>
      </c>
      <c r="K414" s="37" t="s">
        <v>821</v>
      </c>
      <c r="L414" s="32">
        <v>1E-4</v>
      </c>
      <c r="M414" s="32">
        <v>1E-4</v>
      </c>
      <c r="N414" s="31">
        <f>5*D63</f>
        <v>0</v>
      </c>
      <c r="O414" s="34">
        <f t="shared" si="6"/>
        <v>0</v>
      </c>
    </row>
    <row r="415" spans="8:15" ht="14.25" customHeight="1">
      <c r="H415" s="35">
        <v>414</v>
      </c>
      <c r="I415" s="36" t="s">
        <v>861</v>
      </c>
      <c r="J415" s="37" t="s">
        <v>862</v>
      </c>
      <c r="K415" s="37" t="s">
        <v>821</v>
      </c>
      <c r="L415" s="32">
        <v>1E-4</v>
      </c>
      <c r="M415" s="32">
        <v>1E-4</v>
      </c>
      <c r="N415" s="31">
        <f>1*D19</f>
        <v>10</v>
      </c>
      <c r="O415" s="34">
        <f t="shared" si="6"/>
        <v>2E-3</v>
      </c>
    </row>
    <row r="416" spans="8:15" ht="14.25" customHeight="1">
      <c r="H416" s="35">
        <v>415</v>
      </c>
      <c r="I416" s="36" t="s">
        <v>863</v>
      </c>
      <c r="J416" s="37" t="s">
        <v>864</v>
      </c>
      <c r="K416" s="37" t="s">
        <v>821</v>
      </c>
      <c r="L416" s="32">
        <v>1E-4</v>
      </c>
      <c r="M416" s="32">
        <v>1E-4</v>
      </c>
      <c r="N416" s="31">
        <f>D19</f>
        <v>10</v>
      </c>
      <c r="O416" s="34">
        <f t="shared" si="6"/>
        <v>2E-3</v>
      </c>
    </row>
    <row r="417" spans="8:15" ht="14.25" customHeight="1">
      <c r="H417" s="35">
        <v>416</v>
      </c>
      <c r="I417" s="36" t="s">
        <v>865</v>
      </c>
      <c r="J417" s="37" t="s">
        <v>866</v>
      </c>
      <c r="K417" s="37" t="s">
        <v>821</v>
      </c>
      <c r="L417" s="32">
        <v>1E-4</v>
      </c>
      <c r="M417" s="32">
        <v>1E-4</v>
      </c>
      <c r="N417" s="31">
        <f>D42*12*D19</f>
        <v>36000</v>
      </c>
      <c r="O417" s="34">
        <f t="shared" si="6"/>
        <v>7.2</v>
      </c>
    </row>
    <row r="418" spans="8:15" ht="14.25" customHeight="1">
      <c r="H418" s="35">
        <v>417</v>
      </c>
      <c r="I418" s="36" t="s">
        <v>867</v>
      </c>
      <c r="J418" s="37" t="s">
        <v>868</v>
      </c>
      <c r="K418" s="37" t="s">
        <v>821</v>
      </c>
      <c r="L418" s="32">
        <v>1E-4</v>
      </c>
      <c r="M418" s="32">
        <v>1E-4</v>
      </c>
      <c r="N418" s="31">
        <f>D42*(D43-1)*12*D19</f>
        <v>144000</v>
      </c>
      <c r="O418" s="34">
        <f t="shared" si="6"/>
        <v>28.8</v>
      </c>
    </row>
    <row r="419" spans="8:15" ht="14.25" customHeight="1">
      <c r="H419" s="35">
        <v>418</v>
      </c>
      <c r="I419" s="36" t="s">
        <v>869</v>
      </c>
      <c r="J419" s="37" t="s">
        <v>870</v>
      </c>
      <c r="K419" s="37" t="s">
        <v>821</v>
      </c>
      <c r="L419" s="32">
        <v>1E-4</v>
      </c>
      <c r="M419" s="32">
        <v>1E-4</v>
      </c>
      <c r="N419" s="31">
        <f>(N128*0.8+N418*0.5)*D66</f>
        <v>0</v>
      </c>
      <c r="O419" s="34">
        <f t="shared" si="6"/>
        <v>0</v>
      </c>
    </row>
    <row r="420" spans="8:15" ht="14.25" customHeight="1">
      <c r="H420" s="35">
        <v>419</v>
      </c>
      <c r="I420" s="36" t="s">
        <v>871</v>
      </c>
      <c r="J420" s="37" t="s">
        <v>872</v>
      </c>
      <c r="K420" s="37" t="s">
        <v>821</v>
      </c>
      <c r="L420" s="32">
        <v>1E-4</v>
      </c>
      <c r="M420" s="32">
        <v>1E-4</v>
      </c>
      <c r="N420" s="31">
        <v>0</v>
      </c>
      <c r="O420" s="34">
        <f t="shared" si="6"/>
        <v>0</v>
      </c>
    </row>
    <row r="421" spans="8:15" ht="14.25" customHeight="1">
      <c r="H421" s="35">
        <v>420</v>
      </c>
      <c r="I421" s="36" t="s">
        <v>873</v>
      </c>
      <c r="J421" s="37" t="s">
        <v>874</v>
      </c>
      <c r="K421" s="37" t="s">
        <v>821</v>
      </c>
      <c r="L421" s="32">
        <v>1E-4</v>
      </c>
      <c r="M421" s="32">
        <v>1E-4</v>
      </c>
      <c r="N421" s="31">
        <v>0</v>
      </c>
      <c r="O421" s="34">
        <f t="shared" si="6"/>
        <v>0</v>
      </c>
    </row>
    <row r="422" spans="8:15" ht="14.25" customHeight="1">
      <c r="H422" s="35">
        <v>421</v>
      </c>
      <c r="I422" s="36" t="s">
        <v>875</v>
      </c>
      <c r="J422" s="37" t="s">
        <v>876</v>
      </c>
      <c r="K422" s="37" t="s">
        <v>821</v>
      </c>
      <c r="L422" s="32">
        <v>1E-4</v>
      </c>
      <c r="M422" s="32">
        <v>1E-4</v>
      </c>
      <c r="N422" s="31">
        <v>0</v>
      </c>
      <c r="O422" s="34">
        <f t="shared" si="6"/>
        <v>0</v>
      </c>
    </row>
    <row r="423" spans="8:15" ht="14.25" customHeight="1">
      <c r="H423" s="35">
        <v>422</v>
      </c>
      <c r="I423" s="36" t="s">
        <v>885</v>
      </c>
      <c r="J423" s="37" t="s">
        <v>905</v>
      </c>
      <c r="K423" s="37" t="s">
        <v>561</v>
      </c>
      <c r="L423" s="32">
        <v>1E-4</v>
      </c>
      <c r="M423" s="32">
        <v>4.0000000000000002E-4</v>
      </c>
      <c r="N423" s="31">
        <f>D46*12*D19*0.2</f>
        <v>120000</v>
      </c>
      <c r="O423" s="34">
        <f t="shared" si="6"/>
        <v>60</v>
      </c>
    </row>
    <row r="424" spans="8:15" ht="14.25" customHeight="1">
      <c r="H424" s="35">
        <v>423</v>
      </c>
      <c r="I424" s="36" t="s">
        <v>886</v>
      </c>
      <c r="J424" s="37" t="s">
        <v>906</v>
      </c>
      <c r="K424" s="37" t="s">
        <v>561</v>
      </c>
      <c r="L424" s="32">
        <v>1E-4</v>
      </c>
      <c r="M424" s="32">
        <v>2.0000000000000001E-4</v>
      </c>
      <c r="N424" s="31">
        <f>D47*12*D19*0.2</f>
        <v>240000</v>
      </c>
      <c r="O424" s="34">
        <f t="shared" si="6"/>
        <v>72</v>
      </c>
    </row>
    <row r="425" spans="8:15" ht="14.25" customHeight="1">
      <c r="H425" s="35">
        <v>424</v>
      </c>
      <c r="I425" s="36" t="s">
        <v>887</v>
      </c>
      <c r="J425" s="37" t="s">
        <v>907</v>
      </c>
      <c r="K425" s="37" t="s">
        <v>561</v>
      </c>
      <c r="L425" s="32">
        <v>1E-4</v>
      </c>
      <c r="M425" s="32">
        <v>2.0000000000000001E-4</v>
      </c>
      <c r="N425" s="31">
        <f>IF(D51=0,D47*D48*12*D19,D47*D48*12*D19*0.05)*0.2</f>
        <v>720000</v>
      </c>
      <c r="O425" s="34">
        <f t="shared" si="6"/>
        <v>216.00000000000003</v>
      </c>
    </row>
    <row r="426" spans="8:15" ht="14.25" customHeight="1">
      <c r="H426" s="35">
        <v>425</v>
      </c>
      <c r="I426" s="36" t="s">
        <v>888</v>
      </c>
      <c r="J426" s="37" t="s">
        <v>908</v>
      </c>
      <c r="K426" s="37" t="s">
        <v>561</v>
      </c>
      <c r="L426" s="32">
        <v>1E-4</v>
      </c>
      <c r="M426" s="32">
        <v>2.9999999999999997E-4</v>
      </c>
      <c r="N426" s="31">
        <v>0</v>
      </c>
      <c r="O426" s="34">
        <f t="shared" si="6"/>
        <v>0</v>
      </c>
    </row>
    <row r="427" spans="8:15" ht="14.25" customHeight="1">
      <c r="H427" s="35">
        <v>426</v>
      </c>
      <c r="I427" s="36" t="s">
        <v>889</v>
      </c>
      <c r="J427" s="37" t="s">
        <v>909</v>
      </c>
      <c r="K427" s="37" t="s">
        <v>561</v>
      </c>
      <c r="L427" s="32">
        <v>1E-4</v>
      </c>
      <c r="M427" s="32">
        <v>1E-4</v>
      </c>
      <c r="N427" s="31">
        <v>0</v>
      </c>
      <c r="O427" s="34">
        <f t="shared" si="6"/>
        <v>0</v>
      </c>
    </row>
    <row r="428" spans="8:15" ht="14.25" customHeight="1">
      <c r="H428" s="35">
        <v>427</v>
      </c>
      <c r="I428" s="36" t="s">
        <v>890</v>
      </c>
      <c r="J428" s="37" t="s">
        <v>910</v>
      </c>
      <c r="K428" s="37" t="s">
        <v>561</v>
      </c>
      <c r="L428" s="32">
        <v>1E-4</v>
      </c>
      <c r="M428" s="32">
        <v>1E-4</v>
      </c>
      <c r="N428" s="31">
        <v>0</v>
      </c>
      <c r="O428" s="34">
        <f t="shared" si="6"/>
        <v>0</v>
      </c>
    </row>
    <row r="429" spans="8:15" ht="14.25" customHeight="1">
      <c r="H429" s="35">
        <v>428</v>
      </c>
      <c r="I429" s="36" t="s">
        <v>891</v>
      </c>
      <c r="J429" s="37" t="s">
        <v>911</v>
      </c>
      <c r="K429" s="37" t="s">
        <v>561</v>
      </c>
      <c r="L429" s="32">
        <v>1E-4</v>
      </c>
      <c r="M429" s="32">
        <v>1E-4</v>
      </c>
      <c r="N429" s="31">
        <v>8</v>
      </c>
      <c r="O429" s="34">
        <f t="shared" si="6"/>
        <v>1.6000000000000001E-3</v>
      </c>
    </row>
    <row r="430" spans="8:15" ht="14.25" customHeight="1">
      <c r="H430" s="35">
        <v>429</v>
      </c>
      <c r="I430" s="36" t="s">
        <v>892</v>
      </c>
      <c r="J430" s="37" t="s">
        <v>912</v>
      </c>
      <c r="K430" s="37" t="s">
        <v>561</v>
      </c>
      <c r="L430" s="32">
        <v>1E-4</v>
      </c>
      <c r="M430" s="32">
        <v>1E-4</v>
      </c>
      <c r="N430" s="31">
        <v>70</v>
      </c>
      <c r="O430" s="34">
        <f t="shared" si="6"/>
        <v>1.4E-2</v>
      </c>
    </row>
    <row r="431" spans="8:15" ht="14.25" customHeight="1">
      <c r="H431" s="35">
        <v>430</v>
      </c>
      <c r="I431" s="36" t="s">
        <v>893</v>
      </c>
      <c r="J431" s="37" t="s">
        <v>913</v>
      </c>
      <c r="K431" s="37" t="s">
        <v>561</v>
      </c>
      <c r="L431" s="32">
        <v>1E-4</v>
      </c>
      <c r="M431" s="32">
        <v>1E-4</v>
      </c>
      <c r="N431" s="31">
        <v>304</v>
      </c>
      <c r="O431" s="34">
        <f t="shared" si="6"/>
        <v>6.08E-2</v>
      </c>
    </row>
    <row r="432" spans="8:15" ht="14.25" customHeight="1">
      <c r="H432" s="35">
        <v>431</v>
      </c>
      <c r="I432" s="36" t="s">
        <v>894</v>
      </c>
      <c r="J432" s="37" t="s">
        <v>914</v>
      </c>
      <c r="K432" s="37" t="s">
        <v>561</v>
      </c>
      <c r="L432" s="32">
        <v>1E-4</v>
      </c>
      <c r="M432" s="32">
        <v>1E-4</v>
      </c>
      <c r="N432" s="31">
        <v>1520</v>
      </c>
      <c r="O432" s="34">
        <f t="shared" si="6"/>
        <v>0.30399999999999999</v>
      </c>
    </row>
    <row r="433" spans="8:15" ht="14.25" customHeight="1">
      <c r="H433" s="35">
        <v>432</v>
      </c>
      <c r="I433" s="36" t="s">
        <v>895</v>
      </c>
      <c r="J433" s="37" t="s">
        <v>915</v>
      </c>
      <c r="K433" s="37" t="s">
        <v>561</v>
      </c>
      <c r="L433" s="32">
        <v>1E-4</v>
      </c>
      <c r="M433" s="32">
        <v>1E-4</v>
      </c>
      <c r="N433" s="31">
        <v>0</v>
      </c>
      <c r="O433" s="34">
        <f t="shared" si="6"/>
        <v>0</v>
      </c>
    </row>
    <row r="434" spans="8:15" ht="14.25" customHeight="1">
      <c r="H434" s="35">
        <v>433</v>
      </c>
      <c r="I434" s="36" t="s">
        <v>896</v>
      </c>
      <c r="J434" s="37" t="s">
        <v>916</v>
      </c>
      <c r="K434" s="37" t="s">
        <v>561</v>
      </c>
      <c r="L434" s="32">
        <v>1E-4</v>
      </c>
      <c r="M434" s="32">
        <v>1E-4</v>
      </c>
      <c r="N434" s="31">
        <v>0</v>
      </c>
      <c r="O434" s="34">
        <f t="shared" si="6"/>
        <v>0</v>
      </c>
    </row>
    <row r="435" spans="8:15" ht="14.25" customHeight="1">
      <c r="H435" s="35">
        <v>434</v>
      </c>
      <c r="I435" s="36" t="s">
        <v>897</v>
      </c>
      <c r="J435" s="37" t="s">
        <v>917</v>
      </c>
      <c r="K435" s="37" t="s">
        <v>561</v>
      </c>
      <c r="L435" s="32">
        <v>1E-4</v>
      </c>
      <c r="M435" s="32">
        <v>1E-4</v>
      </c>
      <c r="N435" s="31">
        <v>0</v>
      </c>
      <c r="O435" s="34">
        <f t="shared" si="6"/>
        <v>0</v>
      </c>
    </row>
    <row r="436" spans="8:15" ht="14.25" customHeight="1">
      <c r="H436" s="35">
        <v>435</v>
      </c>
      <c r="I436" s="36" t="s">
        <v>898</v>
      </c>
      <c r="J436" s="37" t="s">
        <v>918</v>
      </c>
      <c r="K436" s="37" t="s">
        <v>561</v>
      </c>
      <c r="L436" s="32">
        <v>1E-4</v>
      </c>
      <c r="M436" s="32">
        <v>2.0000000000000001E-4</v>
      </c>
      <c r="N436" s="31">
        <v>100</v>
      </c>
      <c r="O436" s="34">
        <f t="shared" si="6"/>
        <v>3.0000000000000002E-2</v>
      </c>
    </row>
    <row r="437" spans="8:15" ht="14.25" customHeight="1">
      <c r="H437" s="35">
        <v>436</v>
      </c>
      <c r="I437" s="36" t="s">
        <v>899</v>
      </c>
      <c r="J437" s="37" t="s">
        <v>919</v>
      </c>
      <c r="K437" s="37" t="s">
        <v>561</v>
      </c>
      <c r="L437" s="32">
        <v>1E-4</v>
      </c>
      <c r="M437" s="32">
        <v>2.0000000000000001E-4</v>
      </c>
      <c r="N437" s="31">
        <v>1000</v>
      </c>
      <c r="O437" s="34">
        <f t="shared" si="6"/>
        <v>0.30000000000000004</v>
      </c>
    </row>
    <row r="438" spans="8:15" ht="14.25" customHeight="1">
      <c r="H438" s="35">
        <v>437</v>
      </c>
      <c r="I438" s="36" t="s">
        <v>900</v>
      </c>
      <c r="J438" s="37" t="s">
        <v>920</v>
      </c>
      <c r="K438" s="37" t="s">
        <v>561</v>
      </c>
      <c r="L438" s="32">
        <v>1E-4</v>
      </c>
      <c r="M438" s="32">
        <v>2.0000000000000001E-4</v>
      </c>
      <c r="N438" s="31">
        <v>1000</v>
      </c>
      <c r="O438" s="34">
        <f t="shared" si="6"/>
        <v>0.30000000000000004</v>
      </c>
    </row>
    <row r="439" spans="8:15" ht="14.25" customHeight="1">
      <c r="H439" s="35">
        <v>438</v>
      </c>
      <c r="I439" s="36" t="s">
        <v>901</v>
      </c>
      <c r="J439" s="37" t="s">
        <v>921</v>
      </c>
      <c r="K439" s="37" t="s">
        <v>561</v>
      </c>
      <c r="L439" s="32">
        <v>1E-4</v>
      </c>
      <c r="M439" s="32">
        <v>1E-4</v>
      </c>
      <c r="N439" s="31">
        <v>1000</v>
      </c>
      <c r="O439" s="34">
        <f t="shared" si="6"/>
        <v>0.2</v>
      </c>
    </row>
    <row r="440" spans="8:15" ht="14.25" customHeight="1">
      <c r="H440" s="35">
        <v>439</v>
      </c>
      <c r="I440" s="36" t="s">
        <v>902</v>
      </c>
      <c r="J440" s="37" t="s">
        <v>922</v>
      </c>
      <c r="K440" s="37" t="s">
        <v>561</v>
      </c>
      <c r="L440" s="32">
        <v>1E-4</v>
      </c>
      <c r="M440" s="32">
        <v>2.0000000000000001E-4</v>
      </c>
      <c r="N440" s="31">
        <v>1000</v>
      </c>
      <c r="O440" s="34">
        <f t="shared" si="6"/>
        <v>0.30000000000000004</v>
      </c>
    </row>
    <row r="441" spans="8:15" ht="14.25" customHeight="1">
      <c r="H441" s="35">
        <v>440</v>
      </c>
      <c r="I441" s="36" t="s">
        <v>903</v>
      </c>
      <c r="J441" s="37" t="s">
        <v>923</v>
      </c>
      <c r="K441" s="37" t="s">
        <v>561</v>
      </c>
      <c r="L441" s="32">
        <v>1E-4</v>
      </c>
      <c r="M441" s="32">
        <v>1E-4</v>
      </c>
      <c r="N441" s="31">
        <v>10</v>
      </c>
      <c r="O441" s="34">
        <f t="shared" si="6"/>
        <v>2E-3</v>
      </c>
    </row>
    <row r="442" spans="8:15" ht="14.25" customHeight="1">
      <c r="H442" s="35">
        <v>441</v>
      </c>
      <c r="I442" s="36" t="s">
        <v>904</v>
      </c>
      <c r="J442" s="37" t="s">
        <v>924</v>
      </c>
      <c r="K442" s="37" t="s">
        <v>561</v>
      </c>
      <c r="L442" s="32">
        <v>1E-4</v>
      </c>
      <c r="M442" s="32">
        <v>1E-4</v>
      </c>
      <c r="N442" s="31">
        <v>100</v>
      </c>
      <c r="O442" s="34">
        <f t="shared" si="6"/>
        <v>0.02</v>
      </c>
    </row>
    <row r="443" spans="8:15" ht="14.25" customHeight="1">
      <c r="H443" s="35">
        <v>442</v>
      </c>
      <c r="I443" s="36" t="s">
        <v>925</v>
      </c>
      <c r="J443" s="37" t="s">
        <v>1269</v>
      </c>
      <c r="K443" s="37" t="s">
        <v>561</v>
      </c>
      <c r="L443" s="32">
        <v>1E-4</v>
      </c>
      <c r="M443" s="32">
        <v>1E-4</v>
      </c>
      <c r="N443" s="31">
        <f>D69*195*D19</f>
        <v>0</v>
      </c>
      <c r="O443" s="51">
        <f t="shared" si="6"/>
        <v>0</v>
      </c>
    </row>
    <row r="444" spans="8:15" ht="14.25" customHeight="1">
      <c r="H444" s="35">
        <v>443</v>
      </c>
      <c r="I444" s="36" t="s">
        <v>926</v>
      </c>
      <c r="J444" s="37" t="s">
        <v>935</v>
      </c>
      <c r="K444" s="37" t="s">
        <v>561</v>
      </c>
      <c r="L444" s="32">
        <v>1E-4</v>
      </c>
      <c r="M444" s="32">
        <v>1E-4</v>
      </c>
      <c r="N444" s="31">
        <f>D69*195*D19</f>
        <v>0</v>
      </c>
      <c r="O444" s="51">
        <f t="shared" si="6"/>
        <v>0</v>
      </c>
    </row>
    <row r="445" spans="8:15" ht="14.25" customHeight="1">
      <c r="H445" s="35">
        <v>444</v>
      </c>
      <c r="I445" s="36" t="s">
        <v>927</v>
      </c>
      <c r="J445" s="37" t="s">
        <v>936</v>
      </c>
      <c r="K445" s="37" t="s">
        <v>561</v>
      </c>
      <c r="L445" s="32">
        <v>1E-4</v>
      </c>
      <c r="M445" s="32">
        <v>1E-4</v>
      </c>
      <c r="N445" s="31">
        <f>D69*20*D19</f>
        <v>0</v>
      </c>
      <c r="O445" s="51">
        <f t="shared" si="6"/>
        <v>0</v>
      </c>
    </row>
    <row r="446" spans="8:15" ht="14.25" customHeight="1">
      <c r="H446" s="35">
        <v>445</v>
      </c>
      <c r="I446" s="36" t="s">
        <v>928</v>
      </c>
      <c r="J446" s="37" t="s">
        <v>937</v>
      </c>
      <c r="K446" s="37" t="s">
        <v>561</v>
      </c>
      <c r="L446" s="32">
        <v>1E-4</v>
      </c>
      <c r="M446" s="32">
        <v>1E-4</v>
      </c>
      <c r="N446" s="31">
        <f>D69*N55*0.05*D19</f>
        <v>0</v>
      </c>
      <c r="O446" s="51">
        <f t="shared" si="6"/>
        <v>0</v>
      </c>
    </row>
    <row r="447" spans="8:15" ht="14.25" customHeight="1">
      <c r="H447" s="35">
        <v>446</v>
      </c>
      <c r="I447" s="36" t="s">
        <v>929</v>
      </c>
      <c r="J447" s="37" t="s">
        <v>938</v>
      </c>
      <c r="K447" s="37" t="s">
        <v>561</v>
      </c>
      <c r="L447" s="32">
        <v>1E-4</v>
      </c>
      <c r="M447" s="32">
        <v>1E-4</v>
      </c>
      <c r="N447" s="31">
        <f>D69*N146*D19</f>
        <v>0</v>
      </c>
      <c r="O447" s="51">
        <f t="shared" si="6"/>
        <v>0</v>
      </c>
    </row>
    <row r="448" spans="8:15" ht="14.25" customHeight="1">
      <c r="H448" s="35">
        <v>447</v>
      </c>
      <c r="I448" s="36" t="s">
        <v>930</v>
      </c>
      <c r="J448" s="37" t="s">
        <v>939</v>
      </c>
      <c r="K448" s="37" t="s">
        <v>561</v>
      </c>
      <c r="L448" s="32">
        <v>1E-4</v>
      </c>
      <c r="M448" s="32">
        <v>1E-4</v>
      </c>
      <c r="N448" s="31">
        <f>D69*N176*0.05*D19</f>
        <v>0</v>
      </c>
      <c r="O448" s="51">
        <f t="shared" si="6"/>
        <v>0</v>
      </c>
    </row>
    <row r="449" spans="8:15" ht="14.25" customHeight="1">
      <c r="H449" s="35">
        <v>448</v>
      </c>
      <c r="I449" s="36" t="s">
        <v>931</v>
      </c>
      <c r="J449" s="37" t="s">
        <v>940</v>
      </c>
      <c r="K449" s="37" t="s">
        <v>561</v>
      </c>
      <c r="L449" s="32">
        <v>1E-4</v>
      </c>
      <c r="M449" s="32">
        <v>1E-4</v>
      </c>
      <c r="N449" s="31">
        <f>D69*N196*0.05*D19</f>
        <v>0</v>
      </c>
      <c r="O449" s="51">
        <f t="shared" si="6"/>
        <v>0</v>
      </c>
    </row>
    <row r="450" spans="8:15" ht="14.25" customHeight="1">
      <c r="H450" s="35">
        <v>449</v>
      </c>
      <c r="I450" s="36" t="s">
        <v>932</v>
      </c>
      <c r="J450" s="37" t="s">
        <v>941</v>
      </c>
      <c r="K450" s="37" t="s">
        <v>561</v>
      </c>
      <c r="L450" s="32">
        <v>1E-4</v>
      </c>
      <c r="M450" s="32">
        <v>1E-4</v>
      </c>
      <c r="N450" s="31">
        <f>D69*D19</f>
        <v>0</v>
      </c>
      <c r="O450" s="51">
        <f t="shared" si="6"/>
        <v>0</v>
      </c>
    </row>
    <row r="451" spans="8:15" ht="14.25" customHeight="1">
      <c r="H451" s="35">
        <v>450</v>
      </c>
      <c r="I451" s="36" t="s">
        <v>933</v>
      </c>
      <c r="J451" s="37" t="s">
        <v>942</v>
      </c>
      <c r="K451" s="37" t="s">
        <v>561</v>
      </c>
      <c r="L451" s="32">
        <v>1E-4</v>
      </c>
      <c r="M451" s="32">
        <v>2.9999999999999997E-4</v>
      </c>
      <c r="N451" s="31">
        <f>D69*N122*0.05*D19/12</f>
        <v>0</v>
      </c>
      <c r="O451" s="51">
        <f t="shared" si="6"/>
        <v>0</v>
      </c>
    </row>
    <row r="452" spans="8:15" ht="14.25" customHeight="1">
      <c r="H452" s="35">
        <v>451</v>
      </c>
      <c r="I452" s="36" t="s">
        <v>934</v>
      </c>
      <c r="J452" s="37" t="s">
        <v>943</v>
      </c>
      <c r="K452" s="37" t="s">
        <v>561</v>
      </c>
      <c r="L452" s="32">
        <v>1E-4</v>
      </c>
      <c r="M452" s="32">
        <v>1E-4</v>
      </c>
      <c r="N452" s="31">
        <f>D69*195*D19</f>
        <v>0</v>
      </c>
      <c r="O452" s="51">
        <f t="shared" si="6"/>
        <v>0</v>
      </c>
    </row>
    <row r="453" spans="8:15" ht="14.25" customHeight="1">
      <c r="H453" s="35">
        <v>452</v>
      </c>
      <c r="I453" s="36" t="s">
        <v>944</v>
      </c>
      <c r="J453" s="37" t="s">
        <v>961</v>
      </c>
      <c r="K453" s="37" t="s">
        <v>561</v>
      </c>
      <c r="L453" s="32">
        <v>1E-4</v>
      </c>
      <c r="M453" s="32">
        <v>1E-4</v>
      </c>
      <c r="N453" s="31">
        <f>D24*12*D19</f>
        <v>1200000</v>
      </c>
      <c r="O453" s="51">
        <f t="shared" ref="O453:O516" si="7">(L453+M453)*N453</f>
        <v>240</v>
      </c>
    </row>
    <row r="454" spans="8:15" ht="14.25" customHeight="1">
      <c r="H454" s="35">
        <v>453</v>
      </c>
      <c r="I454" s="36" t="s">
        <v>945</v>
      </c>
      <c r="J454" s="37" t="s">
        <v>962</v>
      </c>
      <c r="K454" s="37" t="s">
        <v>561</v>
      </c>
      <c r="L454" s="32">
        <v>1E-4</v>
      </c>
      <c r="M454" s="32">
        <v>1E-4</v>
      </c>
      <c r="N454" s="31">
        <f>10*13</f>
        <v>130</v>
      </c>
      <c r="O454" s="51">
        <f t="shared" si="7"/>
        <v>2.6000000000000002E-2</v>
      </c>
    </row>
    <row r="455" spans="8:15" ht="14.25" customHeight="1">
      <c r="H455" s="35">
        <v>454</v>
      </c>
      <c r="I455" s="36" t="s">
        <v>946</v>
      </c>
      <c r="J455" s="37" t="s">
        <v>963</v>
      </c>
      <c r="K455" s="37" t="s">
        <v>561</v>
      </c>
      <c r="L455" s="32">
        <v>1E-4</v>
      </c>
      <c r="M455" s="32">
        <v>1E-4</v>
      </c>
      <c r="N455" s="31">
        <v>10</v>
      </c>
      <c r="O455" s="51">
        <f t="shared" si="7"/>
        <v>2E-3</v>
      </c>
    </row>
    <row r="456" spans="8:15" ht="14.25" customHeight="1">
      <c r="H456" s="35">
        <v>455</v>
      </c>
      <c r="I456" s="36" t="s">
        <v>947</v>
      </c>
      <c r="J456" s="37" t="s">
        <v>964</v>
      </c>
      <c r="K456" s="37" t="s">
        <v>561</v>
      </c>
      <c r="L456" s="32">
        <v>1E-4</v>
      </c>
      <c r="M456" s="32">
        <v>1E-4</v>
      </c>
      <c r="N456" s="31">
        <f>D33*12*D19</f>
        <v>360000</v>
      </c>
      <c r="O456" s="51">
        <f t="shared" si="7"/>
        <v>72</v>
      </c>
    </row>
    <row r="457" spans="8:15" ht="14.25" customHeight="1">
      <c r="H457" s="35">
        <v>456</v>
      </c>
      <c r="I457" s="36" t="s">
        <v>981</v>
      </c>
      <c r="J457" s="37" t="s">
        <v>965</v>
      </c>
      <c r="K457" s="37" t="s">
        <v>561</v>
      </c>
      <c r="L457" s="32">
        <v>1E-4</v>
      </c>
      <c r="M457" s="32">
        <v>2.0000000000000001E-4</v>
      </c>
      <c r="N457" s="31">
        <v>0</v>
      </c>
      <c r="O457" s="51">
        <f t="shared" si="7"/>
        <v>0</v>
      </c>
    </row>
    <row r="458" spans="8:15" ht="14.25" customHeight="1">
      <c r="H458" s="35">
        <v>457</v>
      </c>
      <c r="I458" s="36" t="s">
        <v>948</v>
      </c>
      <c r="J458" s="37" t="s">
        <v>966</v>
      </c>
      <c r="K458" s="37" t="s">
        <v>561</v>
      </c>
      <c r="L458" s="32">
        <v>1E-4</v>
      </c>
      <c r="M458" s="32">
        <v>1E-4</v>
      </c>
      <c r="N458" s="31">
        <v>0</v>
      </c>
      <c r="O458" s="51">
        <f t="shared" si="7"/>
        <v>0</v>
      </c>
    </row>
    <row r="459" spans="8:15" ht="14.25" customHeight="1">
      <c r="H459" s="35">
        <v>458</v>
      </c>
      <c r="I459" s="36" t="s">
        <v>949</v>
      </c>
      <c r="J459" s="37" t="s">
        <v>967</v>
      </c>
      <c r="K459" s="37" t="s">
        <v>561</v>
      </c>
      <c r="L459" s="32">
        <v>1E-4</v>
      </c>
      <c r="M459" s="32">
        <v>2.0000000000000001E-4</v>
      </c>
      <c r="N459" s="31">
        <v>0</v>
      </c>
      <c r="O459" s="51">
        <f t="shared" si="7"/>
        <v>0</v>
      </c>
    </row>
    <row r="460" spans="8:15" ht="14.25" customHeight="1">
      <c r="H460" s="35">
        <v>459</v>
      </c>
      <c r="I460" s="36" t="s">
        <v>950</v>
      </c>
      <c r="J460" s="37" t="s">
        <v>968</v>
      </c>
      <c r="K460" s="37" t="s">
        <v>561</v>
      </c>
      <c r="L460" s="32">
        <v>1E-4</v>
      </c>
      <c r="M460" s="32">
        <v>1E-4</v>
      </c>
      <c r="N460" s="31">
        <v>0</v>
      </c>
      <c r="O460" s="51">
        <f t="shared" si="7"/>
        <v>0</v>
      </c>
    </row>
    <row r="461" spans="8:15" ht="14.25" customHeight="1">
      <c r="H461" s="35">
        <v>460</v>
      </c>
      <c r="I461" s="36" t="s">
        <v>951</v>
      </c>
      <c r="J461" s="37" t="s">
        <v>969</v>
      </c>
      <c r="K461" s="37" t="s">
        <v>561</v>
      </c>
      <c r="L461" s="32">
        <v>1E-4</v>
      </c>
      <c r="M461" s="32">
        <v>1E-4</v>
      </c>
      <c r="N461" s="31">
        <v>0</v>
      </c>
      <c r="O461" s="51">
        <f t="shared" si="7"/>
        <v>0</v>
      </c>
    </row>
    <row r="462" spans="8:15" ht="14.25" customHeight="1">
      <c r="H462" s="35">
        <v>461</v>
      </c>
      <c r="I462" s="36" t="s">
        <v>982</v>
      </c>
      <c r="J462" s="37" t="s">
        <v>970</v>
      </c>
      <c r="K462" s="37" t="s">
        <v>561</v>
      </c>
      <c r="L462" s="32">
        <v>1E-4</v>
      </c>
      <c r="M462" s="32">
        <v>2.9999999999999997E-4</v>
      </c>
      <c r="N462" s="31">
        <v>0</v>
      </c>
      <c r="O462" s="51">
        <f t="shared" si="7"/>
        <v>0</v>
      </c>
    </row>
    <row r="463" spans="8:15" ht="14.25" customHeight="1">
      <c r="H463" s="35">
        <v>462</v>
      </c>
      <c r="I463" s="36" t="s">
        <v>952</v>
      </c>
      <c r="J463" s="37" t="s">
        <v>971</v>
      </c>
      <c r="K463" s="37" t="s">
        <v>561</v>
      </c>
      <c r="L463" s="32">
        <v>1E-4</v>
      </c>
      <c r="M463" s="32">
        <v>2.9999999999999997E-4</v>
      </c>
      <c r="N463" s="31">
        <v>0</v>
      </c>
      <c r="O463" s="51">
        <f t="shared" si="7"/>
        <v>0</v>
      </c>
    </row>
    <row r="464" spans="8:15" ht="14.25" customHeight="1">
      <c r="H464" s="35">
        <v>463</v>
      </c>
      <c r="I464" s="36" t="s">
        <v>953</v>
      </c>
      <c r="J464" s="37" t="s">
        <v>972</v>
      </c>
      <c r="K464" s="37" t="s">
        <v>561</v>
      </c>
      <c r="L464" s="32">
        <v>1E-4</v>
      </c>
      <c r="M464" s="32">
        <v>2.9999999999999997E-4</v>
      </c>
      <c r="N464" s="31">
        <v>0</v>
      </c>
      <c r="O464" s="51">
        <f t="shared" si="7"/>
        <v>0</v>
      </c>
    </row>
    <row r="465" spans="8:15" ht="14.25" customHeight="1">
      <c r="H465" s="35">
        <v>464</v>
      </c>
      <c r="I465" s="36" t="s">
        <v>954</v>
      </c>
      <c r="J465" s="37" t="s">
        <v>973</v>
      </c>
      <c r="K465" s="37" t="s">
        <v>561</v>
      </c>
      <c r="L465" s="32">
        <v>1E-4</v>
      </c>
      <c r="M465" s="32">
        <v>2.0000000000000001E-4</v>
      </c>
      <c r="N465" s="31">
        <v>0</v>
      </c>
      <c r="O465" s="51">
        <f t="shared" si="7"/>
        <v>0</v>
      </c>
    </row>
    <row r="466" spans="8:15" ht="14.25" customHeight="1">
      <c r="H466" s="35">
        <v>465</v>
      </c>
      <c r="I466" s="36" t="s">
        <v>955</v>
      </c>
      <c r="J466" s="37" t="s">
        <v>974</v>
      </c>
      <c r="K466" s="37" t="s">
        <v>561</v>
      </c>
      <c r="L466" s="32">
        <v>1E-4</v>
      </c>
      <c r="M466" s="32">
        <v>2.0000000000000001E-4</v>
      </c>
      <c r="N466" s="31">
        <v>0</v>
      </c>
      <c r="O466" s="51">
        <f t="shared" si="7"/>
        <v>0</v>
      </c>
    </row>
    <row r="467" spans="8:15" ht="14.25" customHeight="1">
      <c r="H467" s="35">
        <v>466</v>
      </c>
      <c r="I467" s="36" t="s">
        <v>956</v>
      </c>
      <c r="J467" s="37" t="s">
        <v>975</v>
      </c>
      <c r="K467" s="37" t="s">
        <v>562</v>
      </c>
      <c r="L467" s="32">
        <v>1E-4</v>
      </c>
      <c r="M467" s="32">
        <v>1E-4</v>
      </c>
      <c r="N467" s="31">
        <v>0</v>
      </c>
      <c r="O467" s="51">
        <f t="shared" si="7"/>
        <v>0</v>
      </c>
    </row>
    <row r="468" spans="8:15" ht="14.25" customHeight="1">
      <c r="H468" s="35">
        <v>467</v>
      </c>
      <c r="I468" s="36" t="s">
        <v>957</v>
      </c>
      <c r="J468" s="37" t="s">
        <v>976</v>
      </c>
      <c r="K468" s="37" t="s">
        <v>561</v>
      </c>
      <c r="L468" s="32">
        <v>1E-4</v>
      </c>
      <c r="M468" s="32">
        <v>4.0000000000000002E-4</v>
      </c>
      <c r="N468" s="31">
        <f>D75*D34*0.7*12*D19</f>
        <v>0</v>
      </c>
      <c r="O468" s="51">
        <f t="shared" si="7"/>
        <v>0</v>
      </c>
    </row>
    <row r="469" spans="8:15" ht="14.25" customHeight="1">
      <c r="H469" s="35">
        <v>468</v>
      </c>
      <c r="I469" s="36" t="s">
        <v>958</v>
      </c>
      <c r="J469" s="37" t="s">
        <v>977</v>
      </c>
      <c r="K469" s="37" t="s">
        <v>561</v>
      </c>
      <c r="L469" s="32">
        <v>1E-4</v>
      </c>
      <c r="M469" s="32">
        <v>1E-4</v>
      </c>
      <c r="N469" s="31">
        <f>N468</f>
        <v>0</v>
      </c>
      <c r="O469" s="51">
        <f t="shared" si="7"/>
        <v>0</v>
      </c>
    </row>
    <row r="470" spans="8:15" ht="14.25" customHeight="1">
      <c r="H470" s="35">
        <v>469</v>
      </c>
      <c r="I470" s="36" t="s">
        <v>959</v>
      </c>
      <c r="J470" s="37" t="s">
        <v>978</v>
      </c>
      <c r="K470" s="37" t="s">
        <v>561</v>
      </c>
      <c r="L470" s="32">
        <v>1E-4</v>
      </c>
      <c r="M470" s="32">
        <v>1E-4</v>
      </c>
      <c r="N470" s="31">
        <f>N468*5</f>
        <v>0</v>
      </c>
      <c r="O470" s="51">
        <f t="shared" si="7"/>
        <v>0</v>
      </c>
    </row>
    <row r="471" spans="8:15" ht="14.25" customHeight="1">
      <c r="H471" s="35">
        <v>470</v>
      </c>
      <c r="I471" s="36" t="s">
        <v>1223</v>
      </c>
      <c r="J471" s="37" t="s">
        <v>979</v>
      </c>
      <c r="K471" s="37" t="s">
        <v>561</v>
      </c>
      <c r="L471" s="32">
        <v>1E-4</v>
      </c>
      <c r="M471" s="32">
        <v>1E-4</v>
      </c>
      <c r="N471" s="31">
        <f>D75*D33*0.7</f>
        <v>0</v>
      </c>
      <c r="O471" s="51">
        <f t="shared" si="7"/>
        <v>0</v>
      </c>
    </row>
    <row r="472" spans="8:15" ht="14.25" customHeight="1">
      <c r="H472" s="35">
        <v>471</v>
      </c>
      <c r="I472" s="36" t="s">
        <v>960</v>
      </c>
      <c r="J472" s="37" t="s">
        <v>980</v>
      </c>
      <c r="K472" s="37" t="s">
        <v>561</v>
      </c>
      <c r="L472" s="32">
        <v>1E-4</v>
      </c>
      <c r="M472" s="32">
        <v>1E-4</v>
      </c>
      <c r="N472" s="31">
        <f>N471</f>
        <v>0</v>
      </c>
      <c r="O472" s="51">
        <f t="shared" si="7"/>
        <v>0</v>
      </c>
    </row>
    <row r="473" spans="8:15" ht="14.25" customHeight="1">
      <c r="H473" s="35">
        <v>472</v>
      </c>
      <c r="I473" s="36" t="s">
        <v>1027</v>
      </c>
      <c r="J473" s="37" t="s">
        <v>1006</v>
      </c>
      <c r="K473" s="37" t="s">
        <v>561</v>
      </c>
      <c r="L473" s="32">
        <v>1E-4</v>
      </c>
      <c r="M473" s="32">
        <v>1E-4</v>
      </c>
      <c r="N473" s="31">
        <v>1</v>
      </c>
      <c r="O473" s="51">
        <f t="shared" si="7"/>
        <v>2.0000000000000001E-4</v>
      </c>
    </row>
    <row r="474" spans="8:15" ht="14.25" customHeight="1">
      <c r="H474" s="35">
        <v>473</v>
      </c>
      <c r="I474" s="36" t="s">
        <v>985</v>
      </c>
      <c r="J474" s="37" t="s">
        <v>1007</v>
      </c>
      <c r="K474" s="37" t="s">
        <v>561</v>
      </c>
      <c r="L474" s="32">
        <v>1E-4</v>
      </c>
      <c r="M474" s="32">
        <v>1E-4</v>
      </c>
      <c r="N474" s="31">
        <v>5</v>
      </c>
      <c r="O474" s="51">
        <f t="shared" si="7"/>
        <v>1E-3</v>
      </c>
    </row>
    <row r="475" spans="8:15" ht="14.25" customHeight="1">
      <c r="H475" s="35">
        <v>474</v>
      </c>
      <c r="I475" s="36" t="s">
        <v>986</v>
      </c>
      <c r="J475" s="37" t="s">
        <v>1221</v>
      </c>
      <c r="K475" s="37" t="s">
        <v>561</v>
      </c>
      <c r="L475" s="32">
        <v>1E-4</v>
      </c>
      <c r="M475" s="32">
        <v>1E-4</v>
      </c>
      <c r="N475" s="31">
        <v>10</v>
      </c>
      <c r="O475" s="51">
        <f t="shared" si="7"/>
        <v>2E-3</v>
      </c>
    </row>
    <row r="476" spans="8:15" ht="14.25" customHeight="1">
      <c r="H476" s="35">
        <v>475</v>
      </c>
      <c r="I476" s="36" t="s">
        <v>987</v>
      </c>
      <c r="J476" s="37" t="s">
        <v>1008</v>
      </c>
      <c r="K476" s="37" t="s">
        <v>561</v>
      </c>
      <c r="L476" s="32">
        <v>1E-4</v>
      </c>
      <c r="M476" s="32">
        <v>1E-4</v>
      </c>
      <c r="N476" s="31">
        <v>100</v>
      </c>
      <c r="O476" s="51">
        <f t="shared" si="7"/>
        <v>0.02</v>
      </c>
    </row>
    <row r="477" spans="8:15" ht="14.25" customHeight="1">
      <c r="H477" s="35">
        <v>476</v>
      </c>
      <c r="I477" s="36" t="s">
        <v>988</v>
      </c>
      <c r="J477" s="37" t="s">
        <v>1009</v>
      </c>
      <c r="K477" s="37" t="s">
        <v>561</v>
      </c>
      <c r="L477" s="32">
        <v>1E-4</v>
      </c>
      <c r="M477" s="32">
        <v>1E-4</v>
      </c>
      <c r="N477" s="31">
        <v>100</v>
      </c>
      <c r="O477" s="51">
        <f t="shared" si="7"/>
        <v>0.02</v>
      </c>
    </row>
    <row r="478" spans="8:15" ht="14.25" customHeight="1">
      <c r="H478" s="35">
        <v>477</v>
      </c>
      <c r="I478" s="36" t="s">
        <v>989</v>
      </c>
      <c r="J478" s="37" t="s">
        <v>1010</v>
      </c>
      <c r="K478" s="37" t="s">
        <v>561</v>
      </c>
      <c r="L478" s="32">
        <v>1E-4</v>
      </c>
      <c r="M478" s="32">
        <v>1E-4</v>
      </c>
      <c r="N478" s="31">
        <v>100</v>
      </c>
      <c r="O478" s="51">
        <f t="shared" si="7"/>
        <v>0.02</v>
      </c>
    </row>
    <row r="479" spans="8:15" ht="14.25" customHeight="1">
      <c r="H479" s="35">
        <v>478</v>
      </c>
      <c r="I479" s="36" t="s">
        <v>990</v>
      </c>
      <c r="J479" s="37" t="s">
        <v>1222</v>
      </c>
      <c r="K479" s="37" t="s">
        <v>561</v>
      </c>
      <c r="L479" s="32">
        <v>1E-4</v>
      </c>
      <c r="M479" s="32">
        <v>1E-4</v>
      </c>
      <c r="N479" s="31">
        <f>N476*D19</f>
        <v>1000</v>
      </c>
      <c r="O479" s="51">
        <f t="shared" si="7"/>
        <v>0.2</v>
      </c>
    </row>
    <row r="480" spans="8:15" ht="14.25" customHeight="1">
      <c r="H480" s="35">
        <v>479</v>
      </c>
      <c r="I480" s="36" t="s">
        <v>991</v>
      </c>
      <c r="J480" s="37" t="s">
        <v>1011</v>
      </c>
      <c r="K480" s="37" t="s">
        <v>561</v>
      </c>
      <c r="L480" s="32">
        <v>1E-4</v>
      </c>
      <c r="M480" s="32">
        <v>1E-4</v>
      </c>
      <c r="N480" s="31">
        <f>N471*0.1*5</f>
        <v>0</v>
      </c>
      <c r="O480" s="51">
        <f t="shared" si="7"/>
        <v>0</v>
      </c>
    </row>
    <row r="481" spans="1:15" ht="14.25" customHeight="1">
      <c r="H481" s="35">
        <v>480</v>
      </c>
      <c r="I481" s="36" t="s">
        <v>1028</v>
      </c>
      <c r="J481" s="37" t="s">
        <v>1012</v>
      </c>
      <c r="K481" s="37" t="s">
        <v>561</v>
      </c>
      <c r="L481" s="32">
        <v>1E-4</v>
      </c>
      <c r="M481" s="32">
        <v>1E-4</v>
      </c>
      <c r="N481" s="31">
        <v>5</v>
      </c>
      <c r="O481" s="51">
        <f t="shared" si="7"/>
        <v>1E-3</v>
      </c>
    </row>
    <row r="482" spans="1:15" ht="14.25" customHeight="1">
      <c r="H482" s="35">
        <v>481</v>
      </c>
      <c r="I482" s="36" t="s">
        <v>992</v>
      </c>
      <c r="J482" s="37" t="s">
        <v>1024</v>
      </c>
      <c r="K482" s="37" t="s">
        <v>561</v>
      </c>
      <c r="L482" s="32">
        <v>1E-4</v>
      </c>
      <c r="M482" s="32">
        <v>1E-4</v>
      </c>
      <c r="N482" s="31">
        <f>N471*0.5*3</f>
        <v>0</v>
      </c>
      <c r="O482" s="51">
        <f t="shared" si="7"/>
        <v>0</v>
      </c>
    </row>
    <row r="483" spans="1:15" ht="14.25" customHeight="1">
      <c r="H483" s="35">
        <v>482</v>
      </c>
      <c r="I483" s="36" t="s">
        <v>993</v>
      </c>
      <c r="J483" s="37" t="s">
        <v>1025</v>
      </c>
      <c r="K483" s="37" t="s">
        <v>561</v>
      </c>
      <c r="L483" s="32">
        <v>1E-4</v>
      </c>
      <c r="M483" s="32">
        <v>1E-4</v>
      </c>
      <c r="N483" s="31">
        <f>N471*0.5*3</f>
        <v>0</v>
      </c>
      <c r="O483" s="51">
        <f t="shared" si="7"/>
        <v>0</v>
      </c>
    </row>
    <row r="484" spans="1:15" ht="14.25" customHeight="1">
      <c r="H484" s="35">
        <v>483</v>
      </c>
      <c r="I484" s="36" t="s">
        <v>994</v>
      </c>
      <c r="J484" s="37" t="s">
        <v>1013</v>
      </c>
      <c r="K484" s="37" t="s">
        <v>561</v>
      </c>
      <c r="L484" s="32">
        <v>1E-4</v>
      </c>
      <c r="M484" s="32">
        <v>1E-4</v>
      </c>
      <c r="N484" s="31">
        <f>N468*0.5*5</f>
        <v>0</v>
      </c>
      <c r="O484" s="51">
        <f t="shared" si="7"/>
        <v>0</v>
      </c>
    </row>
    <row r="485" spans="1:15" ht="14.25" customHeight="1">
      <c r="H485" s="35">
        <v>484</v>
      </c>
      <c r="I485" s="36" t="s">
        <v>995</v>
      </c>
      <c r="J485" s="37" t="s">
        <v>1014</v>
      </c>
      <c r="K485" s="37" t="s">
        <v>561</v>
      </c>
      <c r="L485" s="32">
        <v>1E-4</v>
      </c>
      <c r="M485" s="32">
        <v>1E-4</v>
      </c>
      <c r="N485" s="31">
        <f>N484*3</f>
        <v>0</v>
      </c>
      <c r="O485" s="51">
        <f t="shared" si="7"/>
        <v>0</v>
      </c>
    </row>
    <row r="486" spans="1:15" ht="14.25" customHeight="1">
      <c r="H486" s="35">
        <v>485</v>
      </c>
      <c r="I486" s="36" t="s">
        <v>996</v>
      </c>
      <c r="J486" s="37" t="s">
        <v>1026</v>
      </c>
      <c r="K486" s="37" t="s">
        <v>561</v>
      </c>
      <c r="L486" s="32">
        <v>1E-4</v>
      </c>
      <c r="M486" s="32">
        <v>1E-4</v>
      </c>
      <c r="N486" s="31">
        <f>N468*0.5*3</f>
        <v>0</v>
      </c>
      <c r="O486" s="51">
        <f t="shared" si="7"/>
        <v>0</v>
      </c>
    </row>
    <row r="487" spans="1:15" ht="14.25" customHeight="1">
      <c r="H487" s="35">
        <v>486</v>
      </c>
      <c r="I487" s="36" t="s">
        <v>997</v>
      </c>
      <c r="J487" s="37" t="s">
        <v>1015</v>
      </c>
      <c r="K487" s="37" t="s">
        <v>561</v>
      </c>
      <c r="L487" s="32">
        <v>1E-4</v>
      </c>
      <c r="M487" s="32">
        <v>1E-4</v>
      </c>
      <c r="N487" s="31">
        <v>24</v>
      </c>
      <c r="O487" s="51">
        <f t="shared" si="7"/>
        <v>4.8000000000000004E-3</v>
      </c>
    </row>
    <row r="488" spans="1:15" ht="14.25" customHeight="1">
      <c r="H488" s="35">
        <v>487</v>
      </c>
      <c r="I488" s="36" t="s">
        <v>998</v>
      </c>
      <c r="J488" s="37" t="s">
        <v>1016</v>
      </c>
      <c r="K488" s="37" t="s">
        <v>561</v>
      </c>
      <c r="L488" s="32">
        <v>1E-4</v>
      </c>
      <c r="M488" s="32">
        <v>2.0000000000000001E-4</v>
      </c>
      <c r="N488" s="31">
        <f>(D37*5)+(D52*5)</f>
        <v>0</v>
      </c>
      <c r="O488" s="51">
        <f t="shared" si="7"/>
        <v>0</v>
      </c>
    </row>
    <row r="489" spans="1:15" ht="14.25" customHeight="1">
      <c r="H489" s="35">
        <v>488</v>
      </c>
      <c r="I489" s="36" t="s">
        <v>999</v>
      </c>
      <c r="J489" s="37" t="s">
        <v>1017</v>
      </c>
      <c r="K489" s="37" t="s">
        <v>561</v>
      </c>
      <c r="L489" s="32">
        <v>1E-4</v>
      </c>
      <c r="M489" s="32">
        <v>1E-4</v>
      </c>
      <c r="N489" s="31">
        <f>((D37*D33)+(D52*D46))*12*D19*0.3</f>
        <v>0</v>
      </c>
      <c r="O489" s="51">
        <f t="shared" si="7"/>
        <v>0</v>
      </c>
    </row>
    <row r="490" spans="1:15" ht="14.25" customHeight="1">
      <c r="H490" s="35">
        <v>489</v>
      </c>
      <c r="I490" s="36" t="s">
        <v>1000</v>
      </c>
      <c r="J490" s="37" t="s">
        <v>1018</v>
      </c>
      <c r="K490" s="37" t="s">
        <v>561</v>
      </c>
      <c r="L490" s="32">
        <v>1E-4</v>
      </c>
      <c r="M490" s="32">
        <v>2.0000000000000001E-4</v>
      </c>
      <c r="N490" s="31">
        <f>D78*D49*12*D19</f>
        <v>0</v>
      </c>
      <c r="O490" s="51">
        <f t="shared" si="7"/>
        <v>0</v>
      </c>
    </row>
    <row r="491" spans="1:15" ht="14.25" customHeight="1">
      <c r="H491" s="35">
        <v>490</v>
      </c>
      <c r="I491" s="36" t="s">
        <v>1001</v>
      </c>
      <c r="J491" s="37" t="s">
        <v>1019</v>
      </c>
      <c r="K491" s="37" t="s">
        <v>561</v>
      </c>
      <c r="L491" s="32">
        <v>1E-4</v>
      </c>
      <c r="M491" s="32">
        <v>1E-4</v>
      </c>
      <c r="N491" s="31">
        <f>D78*D49*12*D19</f>
        <v>0</v>
      </c>
      <c r="O491" s="51">
        <f t="shared" si="7"/>
        <v>0</v>
      </c>
    </row>
    <row r="492" spans="1:15" ht="14.25" customHeight="1">
      <c r="H492" s="35">
        <v>491</v>
      </c>
      <c r="I492" s="36" t="s">
        <v>1002</v>
      </c>
      <c r="J492" s="37" t="s">
        <v>1020</v>
      </c>
      <c r="K492" s="37" t="s">
        <v>561</v>
      </c>
      <c r="L492" s="32">
        <v>1E-4</v>
      </c>
      <c r="M492" s="32">
        <v>1E-4</v>
      </c>
      <c r="N492" s="31">
        <f>D78*36</f>
        <v>0</v>
      </c>
      <c r="O492" s="51">
        <f t="shared" si="7"/>
        <v>0</v>
      </c>
    </row>
    <row r="493" spans="1:15" ht="14.25" customHeight="1">
      <c r="H493" s="35">
        <v>492</v>
      </c>
      <c r="I493" s="36" t="s">
        <v>1003</v>
      </c>
      <c r="J493" s="37" t="s">
        <v>1021</v>
      </c>
      <c r="K493" s="37" t="s">
        <v>561</v>
      </c>
      <c r="L493" s="32">
        <v>1E-4</v>
      </c>
      <c r="M493" s="32">
        <v>1E-4</v>
      </c>
      <c r="N493" s="31">
        <f>D78*36</f>
        <v>0</v>
      </c>
      <c r="O493" s="51">
        <f t="shared" si="7"/>
        <v>0</v>
      </c>
    </row>
    <row r="494" spans="1:15" ht="14.25" customHeight="1">
      <c r="H494" s="35">
        <v>493</v>
      </c>
      <c r="I494" s="36" t="s">
        <v>1004</v>
      </c>
      <c r="J494" s="37" t="s">
        <v>1022</v>
      </c>
      <c r="K494" s="37" t="s">
        <v>561</v>
      </c>
      <c r="L494" s="32">
        <v>1E-4</v>
      </c>
      <c r="M494" s="32">
        <v>1E-4</v>
      </c>
      <c r="N494" s="31">
        <f>N189</f>
        <v>10</v>
      </c>
      <c r="O494" s="51">
        <f t="shared" si="7"/>
        <v>2E-3</v>
      </c>
    </row>
    <row r="495" spans="1:15" ht="14.25" customHeight="1">
      <c r="H495" s="35">
        <v>494</v>
      </c>
      <c r="I495" s="36" t="s">
        <v>1005</v>
      </c>
      <c r="J495" s="37" t="s">
        <v>1023</v>
      </c>
      <c r="K495" s="37" t="s">
        <v>562</v>
      </c>
      <c r="L495" s="32">
        <v>1E-4</v>
      </c>
      <c r="M495" s="32">
        <v>2.0000000000000001E-4</v>
      </c>
      <c r="N495" s="31">
        <v>100</v>
      </c>
      <c r="O495" s="51">
        <f t="shared" si="7"/>
        <v>3.0000000000000002E-2</v>
      </c>
    </row>
    <row r="496" spans="1:15" s="61" customFormat="1" ht="14.25" customHeight="1">
      <c r="A496"/>
      <c r="B496"/>
      <c r="C496"/>
      <c r="D496"/>
      <c r="E496"/>
      <c r="F496"/>
      <c r="G496"/>
      <c r="H496" s="35">
        <v>495</v>
      </c>
      <c r="I496" s="36" t="s">
        <v>1030</v>
      </c>
      <c r="J496" s="37" t="s">
        <v>1031</v>
      </c>
      <c r="K496" s="37" t="s">
        <v>561</v>
      </c>
      <c r="L496" s="32">
        <v>1E-4</v>
      </c>
      <c r="M496" s="32">
        <v>1E-4</v>
      </c>
      <c r="N496" s="31">
        <f>D28*6</f>
        <v>6</v>
      </c>
      <c r="O496" s="51">
        <f t="shared" si="7"/>
        <v>1.2000000000000001E-3</v>
      </c>
    </row>
    <row r="497" spans="2:15" s="61" customFormat="1" ht="14.25" customHeight="1">
      <c r="B497"/>
      <c r="C497"/>
      <c r="D497"/>
      <c r="E497"/>
      <c r="F497"/>
      <c r="H497" s="35">
        <v>496</v>
      </c>
      <c r="I497" s="36" t="s">
        <v>1032</v>
      </c>
      <c r="J497" s="37" t="s">
        <v>1033</v>
      </c>
      <c r="K497" s="37" t="s">
        <v>561</v>
      </c>
      <c r="L497" s="32">
        <v>1E-4</v>
      </c>
      <c r="M497" s="32">
        <v>2.0000000000000001E-4</v>
      </c>
      <c r="N497" s="31">
        <f>D28*1</f>
        <v>1</v>
      </c>
      <c r="O497" s="51">
        <f t="shared" si="7"/>
        <v>3.0000000000000003E-4</v>
      </c>
    </row>
    <row r="498" spans="2:15" s="61" customFormat="1" ht="14.25" customHeight="1">
      <c r="H498" s="35">
        <v>497</v>
      </c>
      <c r="I498" s="36" t="s">
        <v>1034</v>
      </c>
      <c r="J498" s="37" t="s">
        <v>1035</v>
      </c>
      <c r="K498" s="37" t="s">
        <v>561</v>
      </c>
      <c r="L498" s="32">
        <v>1E-4</v>
      </c>
      <c r="M498" s="32">
        <v>2.0000000000000001E-4</v>
      </c>
      <c r="N498" s="31">
        <f>D28*((D7*12*D19/6)+N111+N178)</f>
        <v>2936000</v>
      </c>
      <c r="O498" s="51">
        <f t="shared" si="7"/>
        <v>880.80000000000007</v>
      </c>
    </row>
    <row r="499" spans="2:15" s="61" customFormat="1" ht="14.25" customHeight="1">
      <c r="H499" s="35">
        <v>498</v>
      </c>
      <c r="I499" s="36" t="s">
        <v>1104</v>
      </c>
      <c r="J499" s="37" t="s">
        <v>1036</v>
      </c>
      <c r="K499" s="37" t="s">
        <v>561</v>
      </c>
      <c r="L499" s="32">
        <v>1E-4</v>
      </c>
      <c r="M499" s="32">
        <v>2.0000000000000001E-4</v>
      </c>
      <c r="N499" s="31">
        <f>D28*N498*2</f>
        <v>5872000</v>
      </c>
      <c r="O499" s="51">
        <f t="shared" si="7"/>
        <v>1761.6000000000001</v>
      </c>
    </row>
    <row r="500" spans="2:15" s="61" customFormat="1" ht="14.25" customHeight="1">
      <c r="H500" s="35">
        <v>499</v>
      </c>
      <c r="I500" s="36" t="s">
        <v>1037</v>
      </c>
      <c r="J500" s="37" t="s">
        <v>1038</v>
      </c>
      <c r="K500" s="37" t="s">
        <v>561</v>
      </c>
      <c r="L500" s="32">
        <v>1E-4</v>
      </c>
      <c r="M500" s="32">
        <v>1E-4</v>
      </c>
      <c r="N500" s="31">
        <f>D28*N498*1.1</f>
        <v>3229600.0000000005</v>
      </c>
      <c r="O500" s="51">
        <f t="shared" si="7"/>
        <v>645.92000000000007</v>
      </c>
    </row>
    <row r="501" spans="2:15" s="61" customFormat="1" ht="14.25" customHeight="1">
      <c r="H501" s="35">
        <v>500</v>
      </c>
      <c r="I501" s="36" t="s">
        <v>1039</v>
      </c>
      <c r="J501" s="37" t="s">
        <v>1040</v>
      </c>
      <c r="K501" s="37" t="s">
        <v>561</v>
      </c>
      <c r="L501" s="32">
        <v>1E-4</v>
      </c>
      <c r="M501" s="32">
        <v>1E-4</v>
      </c>
      <c r="N501" s="31">
        <f>D28*((D7*12*D19/6)*0.2+D42*12*D19*2)</f>
        <v>472000</v>
      </c>
      <c r="O501" s="51">
        <f t="shared" si="7"/>
        <v>94.4</v>
      </c>
    </row>
    <row r="502" spans="2:15" s="61" customFormat="1" ht="14.25" customHeight="1">
      <c r="H502" s="35">
        <v>501</v>
      </c>
      <c r="I502" s="36" t="s">
        <v>1041</v>
      </c>
      <c r="J502" s="37" t="s">
        <v>1042</v>
      </c>
      <c r="K502" s="37" t="s">
        <v>561</v>
      </c>
      <c r="L502" s="32">
        <v>1E-4</v>
      </c>
      <c r="M502" s="32">
        <v>2.0000000000000001E-4</v>
      </c>
      <c r="N502" s="31">
        <v>0</v>
      </c>
      <c r="O502" s="51">
        <f t="shared" si="7"/>
        <v>0</v>
      </c>
    </row>
    <row r="503" spans="2:15" s="61" customFormat="1" ht="14.25" customHeight="1">
      <c r="H503" s="35">
        <v>502</v>
      </c>
      <c r="I503" s="36" t="s">
        <v>1043</v>
      </c>
      <c r="J503" s="37" t="s">
        <v>1044</v>
      </c>
      <c r="K503" s="37" t="s">
        <v>561</v>
      </c>
      <c r="L503" s="32">
        <v>1E-4</v>
      </c>
      <c r="M503" s="32">
        <v>2.0000000000000001E-4</v>
      </c>
      <c r="N503" s="31">
        <v>0</v>
      </c>
      <c r="O503" s="51">
        <f t="shared" si="7"/>
        <v>0</v>
      </c>
    </row>
    <row r="504" spans="2:15" s="61" customFormat="1" ht="14.25" customHeight="1">
      <c r="H504" s="35">
        <v>503</v>
      </c>
      <c r="I504" s="36" t="s">
        <v>1045</v>
      </c>
      <c r="J504" s="37" t="s">
        <v>1046</v>
      </c>
      <c r="K504" s="37" t="s">
        <v>561</v>
      </c>
      <c r="L504" s="32">
        <v>1E-4</v>
      </c>
      <c r="M504" s="32">
        <v>2.0000000000000001E-4</v>
      </c>
      <c r="N504" s="31">
        <v>0</v>
      </c>
      <c r="O504" s="51">
        <f t="shared" si="7"/>
        <v>0</v>
      </c>
    </row>
    <row r="505" spans="2:15" s="61" customFormat="1" ht="14.25" customHeight="1">
      <c r="H505" s="35">
        <v>504</v>
      </c>
      <c r="I505" s="36" t="s">
        <v>1047</v>
      </c>
      <c r="J505" s="37" t="s">
        <v>1048</v>
      </c>
      <c r="K505" s="37" t="s">
        <v>561</v>
      </c>
      <c r="L505" s="32">
        <v>1E-4</v>
      </c>
      <c r="M505" s="32">
        <v>2.0000000000000001E-4</v>
      </c>
      <c r="N505" s="31">
        <f>D28*N498*0.05</f>
        <v>146800</v>
      </c>
      <c r="O505" s="51">
        <f t="shared" si="7"/>
        <v>44.040000000000006</v>
      </c>
    </row>
    <row r="506" spans="2:15" s="61" customFormat="1" ht="14.25" customHeight="1">
      <c r="H506" s="35">
        <v>505</v>
      </c>
      <c r="I506" s="36" t="s">
        <v>1049</v>
      </c>
      <c r="J506" s="37" t="s">
        <v>1050</v>
      </c>
      <c r="K506" s="37" t="s">
        <v>561</v>
      </c>
      <c r="L506" s="32">
        <v>1E-4</v>
      </c>
      <c r="M506" s="32">
        <v>2.0000000000000001E-4</v>
      </c>
      <c r="N506" s="31">
        <f>D28*N499*0.05</f>
        <v>293600</v>
      </c>
      <c r="O506" s="51">
        <f t="shared" si="7"/>
        <v>88.080000000000013</v>
      </c>
    </row>
    <row r="507" spans="2:15" s="61" customFormat="1" ht="14.25" customHeight="1">
      <c r="H507" s="35">
        <v>506</v>
      </c>
      <c r="I507" s="36" t="s">
        <v>1051</v>
      </c>
      <c r="J507" s="37" t="s">
        <v>1052</v>
      </c>
      <c r="K507" s="37" t="s">
        <v>561</v>
      </c>
      <c r="L507" s="32">
        <v>1E-4</v>
      </c>
      <c r="M507" s="32">
        <v>2.0000000000000001E-4</v>
      </c>
      <c r="N507" s="31">
        <f>D28*N500*0.05</f>
        <v>161480.00000000003</v>
      </c>
      <c r="O507" s="51">
        <f t="shared" si="7"/>
        <v>48.44400000000001</v>
      </c>
    </row>
    <row r="508" spans="2:15" s="61" customFormat="1" ht="14.25" customHeight="1">
      <c r="H508" s="35">
        <v>507</v>
      </c>
      <c r="I508" s="36" t="s">
        <v>1053</v>
      </c>
      <c r="J508" s="37" t="s">
        <v>1054</v>
      </c>
      <c r="K508" s="37" t="s">
        <v>561</v>
      </c>
      <c r="L508" s="32">
        <v>1E-4</v>
      </c>
      <c r="M508" s="32">
        <v>2.0000000000000001E-4</v>
      </c>
      <c r="N508" s="31">
        <v>0</v>
      </c>
      <c r="O508" s="51">
        <f t="shared" si="7"/>
        <v>0</v>
      </c>
    </row>
    <row r="509" spans="2:15" s="61" customFormat="1" ht="14.25" customHeight="1">
      <c r="H509" s="35">
        <v>508</v>
      </c>
      <c r="I509" s="36" t="s">
        <v>1055</v>
      </c>
      <c r="J509" s="37" t="s">
        <v>1056</v>
      </c>
      <c r="K509" s="37" t="s">
        <v>561</v>
      </c>
      <c r="L509" s="32">
        <v>1E-4</v>
      </c>
      <c r="M509" s="32">
        <v>2.0000000000000001E-4</v>
      </c>
      <c r="N509" s="31">
        <v>0</v>
      </c>
      <c r="O509" s="51">
        <f t="shared" si="7"/>
        <v>0</v>
      </c>
    </row>
    <row r="510" spans="2:15" s="61" customFormat="1" ht="14.25" customHeight="1">
      <c r="H510" s="35">
        <v>509</v>
      </c>
      <c r="I510" s="36" t="s">
        <v>1057</v>
      </c>
      <c r="J510" s="37" t="s">
        <v>1058</v>
      </c>
      <c r="K510" s="37" t="s">
        <v>561</v>
      </c>
      <c r="L510" s="32">
        <v>1E-4</v>
      </c>
      <c r="M510" s="32">
        <v>2.0000000000000001E-4</v>
      </c>
      <c r="N510" s="31">
        <v>0</v>
      </c>
      <c r="O510" s="51">
        <f t="shared" si="7"/>
        <v>0</v>
      </c>
    </row>
    <row r="511" spans="2:15" s="61" customFormat="1" ht="14.25" customHeight="1">
      <c r="H511" s="35">
        <v>510</v>
      </c>
      <c r="I511" s="36" t="s">
        <v>1059</v>
      </c>
      <c r="J511" s="37" t="s">
        <v>1060</v>
      </c>
      <c r="K511" s="37" t="s">
        <v>561</v>
      </c>
      <c r="L511" s="32">
        <v>1E-4</v>
      </c>
      <c r="M511" s="32">
        <v>2.0000000000000001E-4</v>
      </c>
      <c r="N511" s="31">
        <v>0</v>
      </c>
      <c r="O511" s="51">
        <f t="shared" si="7"/>
        <v>0</v>
      </c>
    </row>
    <row r="512" spans="2:15" s="61" customFormat="1" ht="14.25" customHeight="1">
      <c r="H512" s="35">
        <v>511</v>
      </c>
      <c r="I512" s="36" t="s">
        <v>1061</v>
      </c>
      <c r="J512" s="37" t="s">
        <v>1062</v>
      </c>
      <c r="K512" s="37" t="s">
        <v>561</v>
      </c>
      <c r="L512" s="32">
        <v>1E-4</v>
      </c>
      <c r="M512" s="32">
        <v>2.0000000000000001E-4</v>
      </c>
      <c r="N512" s="31">
        <v>0</v>
      </c>
      <c r="O512" s="51">
        <f t="shared" si="7"/>
        <v>0</v>
      </c>
    </row>
    <row r="513" spans="8:15" s="61" customFormat="1" ht="14.25" customHeight="1">
      <c r="H513" s="35">
        <v>512</v>
      </c>
      <c r="I513" s="36" t="s">
        <v>1063</v>
      </c>
      <c r="J513" s="37" t="s">
        <v>1064</v>
      </c>
      <c r="K513" s="37" t="s">
        <v>561</v>
      </c>
      <c r="L513" s="32">
        <v>1E-4</v>
      </c>
      <c r="M513" s="32">
        <v>2.0000000000000001E-4</v>
      </c>
      <c r="N513" s="31">
        <v>0</v>
      </c>
      <c r="O513" s="51">
        <f t="shared" si="7"/>
        <v>0</v>
      </c>
    </row>
    <row r="514" spans="8:15" s="61" customFormat="1" ht="14.25" customHeight="1">
      <c r="H514" s="35">
        <v>512</v>
      </c>
      <c r="I514" s="36" t="s">
        <v>1065</v>
      </c>
      <c r="J514" s="37" t="s">
        <v>1066</v>
      </c>
      <c r="K514" s="37" t="s">
        <v>561</v>
      </c>
      <c r="L514" s="32">
        <v>1E-4</v>
      </c>
      <c r="M514" s="32">
        <v>2.0000000000000001E-4</v>
      </c>
      <c r="N514" s="31">
        <v>0</v>
      </c>
      <c r="O514" s="51">
        <f t="shared" si="7"/>
        <v>0</v>
      </c>
    </row>
    <row r="515" spans="8:15" s="61" customFormat="1" ht="14.25" customHeight="1">
      <c r="H515" s="35">
        <v>512</v>
      </c>
      <c r="I515" s="36" t="s">
        <v>1067</v>
      </c>
      <c r="J515" s="37" t="s">
        <v>1304</v>
      </c>
      <c r="K515" s="37" t="s">
        <v>561</v>
      </c>
      <c r="L515" s="32">
        <v>1E-4</v>
      </c>
      <c r="M515" s="32">
        <v>2.0000000000000001E-4</v>
      </c>
      <c r="N515" s="31">
        <f>D28*30</f>
        <v>30</v>
      </c>
      <c r="O515" s="51">
        <f t="shared" si="7"/>
        <v>9.0000000000000011E-3</v>
      </c>
    </row>
    <row r="516" spans="8:15" s="61" customFormat="1" ht="14.25" customHeight="1">
      <c r="H516" s="35">
        <v>512</v>
      </c>
      <c r="I516" s="36" t="s">
        <v>1068</v>
      </c>
      <c r="J516" s="37" t="s">
        <v>1069</v>
      </c>
      <c r="K516" s="37" t="s">
        <v>561</v>
      </c>
      <c r="L516" s="32">
        <v>1E-4</v>
      </c>
      <c r="M516" s="32">
        <v>2.0000000000000001E-4</v>
      </c>
      <c r="N516" s="31">
        <f>D28*30</f>
        <v>30</v>
      </c>
      <c r="O516" s="51">
        <f t="shared" si="7"/>
        <v>9.0000000000000011E-3</v>
      </c>
    </row>
    <row r="517" spans="8:15" s="61" customFormat="1" ht="14.25" customHeight="1">
      <c r="H517" s="35">
        <v>513</v>
      </c>
      <c r="I517" s="36" t="s">
        <v>1070</v>
      </c>
      <c r="J517" s="37" t="s">
        <v>1071</v>
      </c>
      <c r="K517" s="37" t="s">
        <v>561</v>
      </c>
      <c r="L517" s="32">
        <v>1E-4</v>
      </c>
      <c r="M517" s="32">
        <v>2.0000000000000001E-4</v>
      </c>
      <c r="N517" s="31">
        <f>D28*D7*12*D19/6*0.1</f>
        <v>200000</v>
      </c>
      <c r="O517" s="51">
        <f t="shared" ref="O517:O580" si="8">(L517+M517)*N517</f>
        <v>60.000000000000007</v>
      </c>
    </row>
    <row r="518" spans="8:15" s="61" customFormat="1" ht="14.25" customHeight="1">
      <c r="H518" s="35">
        <v>514</v>
      </c>
      <c r="I518" s="36" t="s">
        <v>1072</v>
      </c>
      <c r="J518" s="37" t="s">
        <v>1073</v>
      </c>
      <c r="K518" s="37" t="s">
        <v>561</v>
      </c>
      <c r="L518" s="32">
        <v>1E-4</v>
      </c>
      <c r="M518" s="32">
        <v>2.9999999999999997E-4</v>
      </c>
      <c r="N518" s="31">
        <v>0</v>
      </c>
      <c r="O518" s="51">
        <f t="shared" si="8"/>
        <v>0</v>
      </c>
    </row>
    <row r="519" spans="8:15" s="61" customFormat="1" ht="14.25" customHeight="1">
      <c r="H519" s="35">
        <v>515</v>
      </c>
      <c r="I519" s="36" t="s">
        <v>1074</v>
      </c>
      <c r="J519" s="37" t="s">
        <v>1075</v>
      </c>
      <c r="K519" s="37" t="s">
        <v>561</v>
      </c>
      <c r="L519" s="32">
        <v>1E-4</v>
      </c>
      <c r="M519" s="32">
        <v>2.9999999999999997E-4</v>
      </c>
      <c r="N519" s="31">
        <v>0</v>
      </c>
      <c r="O519" s="51">
        <f t="shared" si="8"/>
        <v>0</v>
      </c>
    </row>
    <row r="520" spans="8:15" s="61" customFormat="1" ht="14.25" customHeight="1">
      <c r="H520" s="35">
        <v>516</v>
      </c>
      <c r="I520" s="36" t="s">
        <v>1076</v>
      </c>
      <c r="J520" s="37" t="s">
        <v>1077</v>
      </c>
      <c r="K520" s="37" t="s">
        <v>561</v>
      </c>
      <c r="L520" s="32">
        <v>1E-4</v>
      </c>
      <c r="M520" s="32">
        <v>2.0000000000000001E-4</v>
      </c>
      <c r="N520" s="31">
        <v>0</v>
      </c>
      <c r="O520" s="51">
        <f t="shared" si="8"/>
        <v>0</v>
      </c>
    </row>
    <row r="521" spans="8:15" s="61" customFormat="1" ht="14.25" customHeight="1">
      <c r="H521" s="35">
        <v>517</v>
      </c>
      <c r="I521" s="36" t="s">
        <v>1078</v>
      </c>
      <c r="J521" s="37" t="s">
        <v>1079</v>
      </c>
      <c r="K521" s="37" t="s">
        <v>561</v>
      </c>
      <c r="L521" s="32">
        <v>1E-4</v>
      </c>
      <c r="M521" s="32">
        <v>2.9999999999999997E-4</v>
      </c>
      <c r="N521" s="31">
        <v>0</v>
      </c>
      <c r="O521" s="51">
        <f t="shared" si="8"/>
        <v>0</v>
      </c>
    </row>
    <row r="522" spans="8:15" s="61" customFormat="1" ht="14.25" customHeight="1">
      <c r="H522" s="35">
        <v>518</v>
      </c>
      <c r="I522" s="36" t="s">
        <v>1080</v>
      </c>
      <c r="J522" s="37" t="s">
        <v>1081</v>
      </c>
      <c r="K522" s="37" t="s">
        <v>561</v>
      </c>
      <c r="L522" s="32">
        <v>1E-4</v>
      </c>
      <c r="M522" s="32">
        <v>2.0000000000000001E-4</v>
      </c>
      <c r="N522" s="31">
        <v>0</v>
      </c>
      <c r="O522" s="51">
        <f t="shared" si="8"/>
        <v>0</v>
      </c>
    </row>
    <row r="523" spans="8:15" s="61" customFormat="1" ht="14.25" customHeight="1">
      <c r="H523" s="35">
        <v>519</v>
      </c>
      <c r="I523" s="36" t="s">
        <v>1082</v>
      </c>
      <c r="J523" s="37" t="s">
        <v>1083</v>
      </c>
      <c r="K523" s="37" t="s">
        <v>561</v>
      </c>
      <c r="L523" s="32">
        <v>1E-4</v>
      </c>
      <c r="M523" s="32">
        <v>2.9999999999999997E-4</v>
      </c>
      <c r="N523" s="31">
        <v>0</v>
      </c>
      <c r="O523" s="51">
        <f t="shared" si="8"/>
        <v>0</v>
      </c>
    </row>
    <row r="524" spans="8:15" s="61" customFormat="1" ht="14.25" customHeight="1">
      <c r="H524" s="35">
        <v>520</v>
      </c>
      <c r="I524" s="36" t="s">
        <v>1084</v>
      </c>
      <c r="J524" s="37" t="s">
        <v>1085</v>
      </c>
      <c r="K524" s="37" t="s">
        <v>561</v>
      </c>
      <c r="L524" s="32">
        <v>1E-4</v>
      </c>
      <c r="M524" s="32">
        <v>1E-4</v>
      </c>
      <c r="N524" s="31">
        <f>D28*(D51*N248/5*0.5+D36*N295/5*0.5)</f>
        <v>0</v>
      </c>
      <c r="O524" s="51">
        <f t="shared" si="8"/>
        <v>0</v>
      </c>
    </row>
    <row r="525" spans="8:15" s="61" customFormat="1" ht="14.25" customHeight="1">
      <c r="H525" s="35">
        <v>521</v>
      </c>
      <c r="I525" s="36" t="s">
        <v>1086</v>
      </c>
      <c r="J525" s="37" t="s">
        <v>1087</v>
      </c>
      <c r="K525" s="37" t="s">
        <v>561</v>
      </c>
      <c r="L525" s="32">
        <v>1E-4</v>
      </c>
      <c r="M525" s="32">
        <v>1E-4</v>
      </c>
      <c r="N525" s="31">
        <f>D28*(D51*N248/5+D36*N295/5)</f>
        <v>0</v>
      </c>
      <c r="O525" s="51">
        <f t="shared" si="8"/>
        <v>0</v>
      </c>
    </row>
    <row r="526" spans="8:15" s="61" customFormat="1" ht="14.25" customHeight="1">
      <c r="H526" s="35">
        <v>522</v>
      </c>
      <c r="I526" s="36" t="s">
        <v>1088</v>
      </c>
      <c r="J526" s="37" t="s">
        <v>1105</v>
      </c>
      <c r="K526" s="37" t="s">
        <v>561</v>
      </c>
      <c r="L526" s="32">
        <v>1E-4</v>
      </c>
      <c r="M526" s="32">
        <v>1E-4</v>
      </c>
      <c r="N526" s="31">
        <f>D28*N423</f>
        <v>120000</v>
      </c>
      <c r="O526" s="51">
        <f t="shared" si="8"/>
        <v>24</v>
      </c>
    </row>
    <row r="527" spans="8:15" s="61" customFormat="1" ht="14.25" customHeight="1">
      <c r="H527" s="35">
        <v>523</v>
      </c>
      <c r="I527" s="36" t="s">
        <v>1089</v>
      </c>
      <c r="J527" s="37" t="s">
        <v>1090</v>
      </c>
      <c r="K527" s="37" t="s">
        <v>561</v>
      </c>
      <c r="L527" s="32">
        <v>1E-4</v>
      </c>
      <c r="M527" s="32">
        <v>1E-4</v>
      </c>
      <c r="N527" s="31">
        <v>0</v>
      </c>
      <c r="O527" s="51">
        <f t="shared" si="8"/>
        <v>0</v>
      </c>
    </row>
    <row r="528" spans="8:15" s="61" customFormat="1" ht="14.25" customHeight="1">
      <c r="H528" s="35">
        <v>524</v>
      </c>
      <c r="I528" s="36" t="s">
        <v>1091</v>
      </c>
      <c r="J528" s="37" t="s">
        <v>1092</v>
      </c>
      <c r="K528" s="37" t="s">
        <v>561</v>
      </c>
      <c r="L528" s="32">
        <v>1E-4</v>
      </c>
      <c r="M528" s="32">
        <v>1E-4</v>
      </c>
      <c r="N528" s="31">
        <v>0</v>
      </c>
      <c r="O528" s="51">
        <f t="shared" si="8"/>
        <v>0</v>
      </c>
    </row>
    <row r="529" spans="8:15" s="61" customFormat="1" ht="14.25" customHeight="1">
      <c r="H529" s="35">
        <v>525</v>
      </c>
      <c r="I529" s="36" t="s">
        <v>1093</v>
      </c>
      <c r="J529" s="37" t="s">
        <v>1094</v>
      </c>
      <c r="K529" s="37" t="s">
        <v>561</v>
      </c>
      <c r="L529" s="32">
        <v>1E-4</v>
      </c>
      <c r="M529" s="32">
        <v>1E-4</v>
      </c>
      <c r="N529" s="31">
        <v>0</v>
      </c>
      <c r="O529" s="51">
        <f t="shared" si="8"/>
        <v>0</v>
      </c>
    </row>
    <row r="530" spans="8:15" s="61" customFormat="1" ht="14.25" customHeight="1">
      <c r="H530" s="35">
        <v>526</v>
      </c>
      <c r="I530" s="36" t="s">
        <v>1095</v>
      </c>
      <c r="J530" s="37" t="s">
        <v>1096</v>
      </c>
      <c r="K530" s="37" t="s">
        <v>561</v>
      </c>
      <c r="L530" s="32">
        <v>1E-4</v>
      </c>
      <c r="M530" s="32">
        <v>1E-4</v>
      </c>
      <c r="N530" s="31">
        <v>0</v>
      </c>
      <c r="O530" s="51">
        <f t="shared" si="8"/>
        <v>0</v>
      </c>
    </row>
    <row r="531" spans="8:15" s="61" customFormat="1" ht="14.25" customHeight="1">
      <c r="H531" s="35">
        <v>527</v>
      </c>
      <c r="I531" s="36" t="s">
        <v>1097</v>
      </c>
      <c r="J531" s="37" t="s">
        <v>1098</v>
      </c>
      <c r="K531" s="37" t="s">
        <v>561</v>
      </c>
      <c r="L531" s="32">
        <v>1E-4</v>
      </c>
      <c r="M531" s="32">
        <v>2.0000000000000001E-4</v>
      </c>
      <c r="N531" s="31">
        <v>0</v>
      </c>
      <c r="O531" s="51">
        <f t="shared" si="8"/>
        <v>0</v>
      </c>
    </row>
    <row r="532" spans="8:15" s="61" customFormat="1" ht="14.25" customHeight="1">
      <c r="H532" s="35">
        <v>528</v>
      </c>
      <c r="I532" s="36" t="s">
        <v>1099</v>
      </c>
      <c r="J532" s="37" t="s">
        <v>1100</v>
      </c>
      <c r="K532" s="37" t="s">
        <v>561</v>
      </c>
      <c r="L532" s="32">
        <v>1E-4</v>
      </c>
      <c r="M532" s="32">
        <v>2.9999999999999997E-4</v>
      </c>
      <c r="N532" s="31">
        <v>0</v>
      </c>
      <c r="O532" s="51">
        <f t="shared" si="8"/>
        <v>0</v>
      </c>
    </row>
    <row r="533" spans="8:15" s="61" customFormat="1" ht="14.25" customHeight="1">
      <c r="H533" s="35">
        <v>529</v>
      </c>
      <c r="I533" s="36" t="s">
        <v>1155</v>
      </c>
      <c r="J533" s="37" t="s">
        <v>1156</v>
      </c>
      <c r="K533" s="37" t="s">
        <v>561</v>
      </c>
      <c r="L533" s="32">
        <v>1E-4</v>
      </c>
      <c r="M533" s="32">
        <v>2.9999999999999997E-4</v>
      </c>
      <c r="N533" s="31">
        <f>(19+5)*D20</f>
        <v>240</v>
      </c>
      <c r="O533" s="51">
        <f t="shared" si="8"/>
        <v>9.5999999999999988E-2</v>
      </c>
    </row>
    <row r="534" spans="8:15" s="61" customFormat="1" ht="14.25" customHeight="1">
      <c r="H534" s="35">
        <v>530</v>
      </c>
      <c r="I534" s="36" t="s">
        <v>1157</v>
      </c>
      <c r="J534" s="37" t="s">
        <v>1158</v>
      </c>
      <c r="K534" s="37" t="s">
        <v>4</v>
      </c>
      <c r="L534" s="32">
        <v>1E-4</v>
      </c>
      <c r="M534" s="32">
        <v>1E-4</v>
      </c>
      <c r="N534" s="31">
        <v>23</v>
      </c>
      <c r="O534" s="51">
        <f t="shared" si="8"/>
        <v>4.5999999999999999E-3</v>
      </c>
    </row>
    <row r="535" spans="8:15" s="61" customFormat="1" ht="14.25" customHeight="1">
      <c r="H535" s="35">
        <v>531</v>
      </c>
      <c r="I535" s="36" t="s">
        <v>1159</v>
      </c>
      <c r="J535" s="37" t="s">
        <v>1160</v>
      </c>
      <c r="K535" s="37" t="s">
        <v>4</v>
      </c>
      <c r="L535" s="32">
        <v>1E-4</v>
      </c>
      <c r="M535" s="32">
        <v>1E-4</v>
      </c>
      <c r="N535" s="31">
        <v>83</v>
      </c>
      <c r="O535" s="51">
        <f t="shared" si="8"/>
        <v>1.66E-2</v>
      </c>
    </row>
    <row r="536" spans="8:15" s="61" customFormat="1" ht="14.25" customHeight="1">
      <c r="H536" s="35">
        <v>532</v>
      </c>
      <c r="I536" s="36" t="s">
        <v>1161</v>
      </c>
      <c r="J536" s="37" t="s">
        <v>1162</v>
      </c>
      <c r="K536" s="37" t="s">
        <v>4</v>
      </c>
      <c r="L536" s="32">
        <v>1E-4</v>
      </c>
      <c r="M536" s="32">
        <v>1E-4</v>
      </c>
      <c r="N536" s="31">
        <v>6</v>
      </c>
      <c r="O536" s="51">
        <f t="shared" si="8"/>
        <v>1.2000000000000001E-3</v>
      </c>
    </row>
    <row r="537" spans="8:15" s="61" customFormat="1" ht="14.25" customHeight="1">
      <c r="H537" s="35">
        <v>533</v>
      </c>
      <c r="I537" s="36" t="s">
        <v>1163</v>
      </c>
      <c r="J537" s="37" t="s">
        <v>1164</v>
      </c>
      <c r="K537" s="37" t="s">
        <v>4</v>
      </c>
      <c r="L537" s="32">
        <v>1E-4</v>
      </c>
      <c r="M537" s="32">
        <v>1E-4</v>
      </c>
      <c r="N537" s="31">
        <v>0</v>
      </c>
      <c r="O537" s="51">
        <f t="shared" si="8"/>
        <v>0</v>
      </c>
    </row>
    <row r="538" spans="8:15" s="61" customFormat="1" ht="14.25" customHeight="1">
      <c r="H538" s="35">
        <v>534</v>
      </c>
      <c r="I538" s="36" t="s">
        <v>1165</v>
      </c>
      <c r="J538" s="37" t="s">
        <v>1166</v>
      </c>
      <c r="K538" s="37" t="s">
        <v>4</v>
      </c>
      <c r="L538" s="32">
        <v>1E-4</v>
      </c>
      <c r="M538" s="32">
        <v>1E-4</v>
      </c>
      <c r="N538" s="31">
        <v>0</v>
      </c>
      <c r="O538" s="51">
        <f t="shared" si="8"/>
        <v>0</v>
      </c>
    </row>
    <row r="539" spans="8:15" s="61" customFormat="1" ht="14.25" customHeight="1">
      <c r="H539" s="35">
        <v>535</v>
      </c>
      <c r="I539" s="36" t="s">
        <v>1167</v>
      </c>
      <c r="J539" s="37" t="s">
        <v>1168</v>
      </c>
      <c r="K539" s="37" t="s">
        <v>4</v>
      </c>
      <c r="L539" s="32">
        <v>1E-4</v>
      </c>
      <c r="M539" s="32">
        <v>1E-4</v>
      </c>
      <c r="N539" s="27">
        <v>40</v>
      </c>
      <c r="O539" s="51">
        <f t="shared" si="8"/>
        <v>8.0000000000000002E-3</v>
      </c>
    </row>
    <row r="540" spans="8:15" s="61" customFormat="1" ht="14.25" customHeight="1">
      <c r="H540" s="35">
        <v>536</v>
      </c>
      <c r="I540" s="36" t="s">
        <v>1169</v>
      </c>
      <c r="J540" s="37" t="s">
        <v>1171</v>
      </c>
      <c r="K540" s="37" t="s">
        <v>4</v>
      </c>
      <c r="L540" s="32">
        <v>1E-4</v>
      </c>
      <c r="M540" s="32">
        <v>1E-4</v>
      </c>
      <c r="N540" s="31">
        <v>0</v>
      </c>
      <c r="O540" s="51">
        <f t="shared" si="8"/>
        <v>0</v>
      </c>
    </row>
    <row r="541" spans="8:15" s="61" customFormat="1" ht="14.25" customHeight="1">
      <c r="H541" s="35">
        <v>537</v>
      </c>
      <c r="I541" s="36" t="s">
        <v>1170</v>
      </c>
      <c r="J541" s="37" t="s">
        <v>1172</v>
      </c>
      <c r="K541" s="37" t="s">
        <v>4</v>
      </c>
      <c r="L541" s="32">
        <v>1E-4</v>
      </c>
      <c r="M541" s="32">
        <v>2.0000000000000001E-4</v>
      </c>
      <c r="N541" s="31">
        <v>5</v>
      </c>
      <c r="O541" s="51">
        <f t="shared" si="8"/>
        <v>1.5E-3</v>
      </c>
    </row>
    <row r="542" spans="8:15" s="61" customFormat="1" ht="14.25" customHeight="1">
      <c r="H542" s="35">
        <v>538</v>
      </c>
      <c r="I542" s="36" t="s">
        <v>1173</v>
      </c>
      <c r="J542" s="37" t="s">
        <v>1174</v>
      </c>
      <c r="K542" s="37" t="s">
        <v>4</v>
      </c>
      <c r="L542" s="32">
        <v>1E-4</v>
      </c>
      <c r="M542" s="32">
        <v>1E-4</v>
      </c>
      <c r="N542" s="31">
        <f>N249-N248</f>
        <v>0</v>
      </c>
      <c r="O542" s="51">
        <f t="shared" si="8"/>
        <v>0</v>
      </c>
    </row>
    <row r="543" spans="8:15" s="61" customFormat="1" ht="14.25" customHeight="1">
      <c r="H543" s="35">
        <v>539</v>
      </c>
      <c r="I543" s="36" t="s">
        <v>1175</v>
      </c>
      <c r="J543" s="37" t="s">
        <v>1176</v>
      </c>
      <c r="K543" s="37" t="s">
        <v>4</v>
      </c>
      <c r="L543" s="32">
        <v>1E-4</v>
      </c>
      <c r="M543" s="32">
        <v>1E-4</v>
      </c>
      <c r="N543" s="31">
        <v>0</v>
      </c>
      <c r="O543" s="51">
        <f t="shared" si="8"/>
        <v>0</v>
      </c>
    </row>
    <row r="544" spans="8:15" s="61" customFormat="1" ht="14.25" customHeight="1">
      <c r="H544" s="35">
        <v>540</v>
      </c>
      <c r="I544" s="36" t="s">
        <v>1177</v>
      </c>
      <c r="J544" s="37" t="s">
        <v>1178</v>
      </c>
      <c r="K544" s="37" t="s">
        <v>4</v>
      </c>
      <c r="L544" s="32">
        <v>1E-4</v>
      </c>
      <c r="M544" s="32">
        <v>1E-4</v>
      </c>
      <c r="N544" s="31">
        <v>0</v>
      </c>
      <c r="O544" s="51">
        <f t="shared" si="8"/>
        <v>0</v>
      </c>
    </row>
    <row r="545" spans="8:15" s="61" customFormat="1" ht="14.25" customHeight="1">
      <c r="H545" s="35">
        <v>541</v>
      </c>
      <c r="I545" s="36" t="s">
        <v>1179</v>
      </c>
      <c r="J545" s="37" t="s">
        <v>1180</v>
      </c>
      <c r="K545" s="37" t="s">
        <v>4</v>
      </c>
      <c r="L545" s="32">
        <v>1E-4</v>
      </c>
      <c r="M545" s="32">
        <v>1E-4</v>
      </c>
      <c r="N545" s="31">
        <v>0</v>
      </c>
      <c r="O545" s="51">
        <f t="shared" si="8"/>
        <v>0</v>
      </c>
    </row>
    <row r="546" spans="8:15" s="61" customFormat="1" ht="14.25" customHeight="1">
      <c r="H546" s="35">
        <v>542</v>
      </c>
      <c r="I546" s="36" t="s">
        <v>1181</v>
      </c>
      <c r="J546" s="37" t="s">
        <v>1182</v>
      </c>
      <c r="K546" s="37" t="s">
        <v>4</v>
      </c>
      <c r="L546" s="32">
        <v>1E-4</v>
      </c>
      <c r="M546" s="32">
        <v>1E-4</v>
      </c>
      <c r="N546" s="31">
        <v>0</v>
      </c>
      <c r="O546" s="51">
        <f t="shared" si="8"/>
        <v>0</v>
      </c>
    </row>
    <row r="547" spans="8:15" s="61" customFormat="1" ht="14.25" customHeight="1">
      <c r="H547" s="35">
        <v>543</v>
      </c>
      <c r="I547" s="36" t="s">
        <v>1183</v>
      </c>
      <c r="J547" s="37" t="s">
        <v>1184</v>
      </c>
      <c r="K547" s="37" t="s">
        <v>4</v>
      </c>
      <c r="L547" s="32">
        <v>1E-4</v>
      </c>
      <c r="M547" s="32">
        <v>1E-4</v>
      </c>
      <c r="N547" s="31">
        <v>0</v>
      </c>
      <c r="O547" s="51">
        <f t="shared" si="8"/>
        <v>0</v>
      </c>
    </row>
    <row r="548" spans="8:15" s="61" customFormat="1" ht="14.25" customHeight="1">
      <c r="H548" s="35">
        <v>544</v>
      </c>
      <c r="I548" s="36" t="s">
        <v>1185</v>
      </c>
      <c r="J548" s="37" t="s">
        <v>1186</v>
      </c>
      <c r="K548" s="37" t="s">
        <v>4</v>
      </c>
      <c r="L548" s="32">
        <v>1E-4</v>
      </c>
      <c r="M548" s="32">
        <v>1E-4</v>
      </c>
      <c r="N548" s="31">
        <v>0</v>
      </c>
      <c r="O548" s="51">
        <f t="shared" si="8"/>
        <v>0</v>
      </c>
    </row>
    <row r="549" spans="8:15" s="61" customFormat="1" ht="14.25" customHeight="1">
      <c r="H549" s="35">
        <v>545</v>
      </c>
      <c r="I549" s="36" t="s">
        <v>1187</v>
      </c>
      <c r="J549" s="37" t="s">
        <v>1188</v>
      </c>
      <c r="K549" s="37" t="s">
        <v>4</v>
      </c>
      <c r="L549" s="32">
        <v>1E-4</v>
      </c>
      <c r="M549" s="32">
        <v>1E-4</v>
      </c>
      <c r="N549" s="31">
        <v>0</v>
      </c>
      <c r="O549" s="51">
        <f t="shared" si="8"/>
        <v>0</v>
      </c>
    </row>
    <row r="550" spans="8:15" s="61" customFormat="1" ht="14.25" customHeight="1">
      <c r="H550" s="35">
        <v>546</v>
      </c>
      <c r="I550" s="36" t="s">
        <v>1189</v>
      </c>
      <c r="J550" s="37" t="s">
        <v>1190</v>
      </c>
      <c r="K550" s="37" t="s">
        <v>4</v>
      </c>
      <c r="L550" s="32">
        <v>1E-4</v>
      </c>
      <c r="M550" s="32">
        <v>1E-4</v>
      </c>
      <c r="N550" s="31">
        <v>0</v>
      </c>
      <c r="O550" s="51">
        <f t="shared" si="8"/>
        <v>0</v>
      </c>
    </row>
    <row r="551" spans="8:15" s="61" customFormat="1" ht="14.25" customHeight="1">
      <c r="H551" s="35">
        <v>547</v>
      </c>
      <c r="I551" s="36" t="s">
        <v>1191</v>
      </c>
      <c r="J551" s="37" t="s">
        <v>1192</v>
      </c>
      <c r="K551" s="37" t="s">
        <v>4</v>
      </c>
      <c r="L551" s="32">
        <v>1E-4</v>
      </c>
      <c r="M551" s="32">
        <v>1E-4</v>
      </c>
      <c r="N551" s="31">
        <v>0</v>
      </c>
      <c r="O551" s="51">
        <f t="shared" si="8"/>
        <v>0</v>
      </c>
    </row>
    <row r="552" spans="8:15" s="61" customFormat="1" ht="14.25" customHeight="1">
      <c r="H552" s="35">
        <v>548</v>
      </c>
      <c r="I552" s="36" t="s">
        <v>1193</v>
      </c>
      <c r="J552" s="37" t="s">
        <v>1194</v>
      </c>
      <c r="K552" s="37" t="s">
        <v>4</v>
      </c>
      <c r="L552" s="32">
        <v>1E-4</v>
      </c>
      <c r="M552" s="32">
        <v>1E-4</v>
      </c>
      <c r="N552" s="31">
        <v>0</v>
      </c>
      <c r="O552" s="51">
        <f t="shared" si="8"/>
        <v>0</v>
      </c>
    </row>
    <row r="553" spans="8:15" s="61" customFormat="1" ht="14.25" customHeight="1">
      <c r="H553" s="35">
        <v>549</v>
      </c>
      <c r="I553" s="36" t="s">
        <v>1195</v>
      </c>
      <c r="J553" s="37" t="s">
        <v>1196</v>
      </c>
      <c r="K553" s="37" t="s">
        <v>4</v>
      </c>
      <c r="L553" s="32">
        <v>1E-4</v>
      </c>
      <c r="M553" s="32">
        <v>1E-4</v>
      </c>
      <c r="N553" s="31">
        <v>0</v>
      </c>
      <c r="O553" s="51">
        <f t="shared" si="8"/>
        <v>0</v>
      </c>
    </row>
    <row r="554" spans="8:15" s="61" customFormat="1" ht="14.25" customHeight="1">
      <c r="H554" s="35">
        <v>550</v>
      </c>
      <c r="I554" s="36" t="s">
        <v>1197</v>
      </c>
      <c r="J554" s="37" t="s">
        <v>1198</v>
      </c>
      <c r="K554" s="37" t="s">
        <v>4</v>
      </c>
      <c r="L554" s="32">
        <v>1E-4</v>
      </c>
      <c r="M554" s="32">
        <v>1E-4</v>
      </c>
      <c r="N554" s="31">
        <v>0</v>
      </c>
      <c r="O554" s="51">
        <f t="shared" si="8"/>
        <v>0</v>
      </c>
    </row>
    <row r="555" spans="8:15" s="61" customFormat="1" ht="14.25" customHeight="1">
      <c r="H555" s="35">
        <v>551</v>
      </c>
      <c r="I555" s="36" t="s">
        <v>1199</v>
      </c>
      <c r="J555" s="37" t="s">
        <v>1200</v>
      </c>
      <c r="K555" s="37" t="s">
        <v>4</v>
      </c>
      <c r="L555" s="32">
        <v>1E-4</v>
      </c>
      <c r="M555" s="32">
        <v>1E-4</v>
      </c>
      <c r="N555" s="31">
        <v>0</v>
      </c>
      <c r="O555" s="51">
        <f t="shared" si="8"/>
        <v>0</v>
      </c>
    </row>
    <row r="556" spans="8:15" s="61" customFormat="1" ht="14.25" customHeight="1">
      <c r="H556" s="35">
        <v>552</v>
      </c>
      <c r="I556" s="36" t="s">
        <v>1201</v>
      </c>
      <c r="J556" s="37" t="s">
        <v>1202</v>
      </c>
      <c r="K556" s="37" t="s">
        <v>4</v>
      </c>
      <c r="L556" s="32">
        <v>1E-4</v>
      </c>
      <c r="M556" s="32">
        <v>1E-4</v>
      </c>
      <c r="N556" s="31">
        <v>0</v>
      </c>
      <c r="O556" s="51">
        <f t="shared" si="8"/>
        <v>0</v>
      </c>
    </row>
    <row r="557" spans="8:15" s="61" customFormat="1" ht="14.25" customHeight="1">
      <c r="H557" s="35">
        <v>553</v>
      </c>
      <c r="I557" s="36" t="s">
        <v>1203</v>
      </c>
      <c r="J557" s="37" t="s">
        <v>1204</v>
      </c>
      <c r="K557" s="37" t="s">
        <v>4</v>
      </c>
      <c r="L557" s="32">
        <v>1E-4</v>
      </c>
      <c r="M557" s="32">
        <v>1E-4</v>
      </c>
      <c r="N557" s="31">
        <v>0</v>
      </c>
      <c r="O557" s="51">
        <f t="shared" si="8"/>
        <v>0</v>
      </c>
    </row>
    <row r="558" spans="8:15" s="61" customFormat="1" ht="14.25" customHeight="1">
      <c r="H558" s="35">
        <v>554</v>
      </c>
      <c r="I558" s="36" t="s">
        <v>1205</v>
      </c>
      <c r="J558" s="37" t="s">
        <v>1206</v>
      </c>
      <c r="K558" s="37" t="s">
        <v>4</v>
      </c>
      <c r="L558" s="32">
        <v>1E-4</v>
      </c>
      <c r="M558" s="32">
        <v>1E-4</v>
      </c>
      <c r="N558" s="31">
        <v>0</v>
      </c>
      <c r="O558" s="51">
        <f t="shared" si="8"/>
        <v>0</v>
      </c>
    </row>
    <row r="559" spans="8:15" s="61" customFormat="1" ht="14.25" customHeight="1">
      <c r="H559" s="35">
        <v>555</v>
      </c>
      <c r="I559" s="36" t="s">
        <v>1207</v>
      </c>
      <c r="J559" s="37" t="s">
        <v>1208</v>
      </c>
      <c r="K559" s="37" t="s">
        <v>4</v>
      </c>
      <c r="L559" s="32">
        <v>1E-4</v>
      </c>
      <c r="M559" s="32">
        <v>1E-4</v>
      </c>
      <c r="N559" s="31">
        <v>0</v>
      </c>
      <c r="O559" s="51">
        <f t="shared" si="8"/>
        <v>0</v>
      </c>
    </row>
    <row r="560" spans="8:15" s="61" customFormat="1" ht="14.25" customHeight="1">
      <c r="H560" s="35">
        <v>556</v>
      </c>
      <c r="I560" s="36" t="s">
        <v>1209</v>
      </c>
      <c r="J560" s="37" t="s">
        <v>1210</v>
      </c>
      <c r="K560" s="37" t="s">
        <v>4</v>
      </c>
      <c r="L560" s="32">
        <v>1E-4</v>
      </c>
      <c r="M560" s="32">
        <v>1E-4</v>
      </c>
      <c r="N560" s="31">
        <v>0</v>
      </c>
      <c r="O560" s="51">
        <f t="shared" si="8"/>
        <v>0</v>
      </c>
    </row>
    <row r="561" spans="8:15" s="61" customFormat="1" ht="14.25" customHeight="1">
      <c r="H561" s="35">
        <v>557</v>
      </c>
      <c r="I561" s="36" t="s">
        <v>1211</v>
      </c>
      <c r="J561" s="37" t="s">
        <v>1212</v>
      </c>
      <c r="K561" s="37" t="s">
        <v>4</v>
      </c>
      <c r="L561" s="32">
        <v>1E-4</v>
      </c>
      <c r="M561" s="32">
        <v>1E-4</v>
      </c>
      <c r="N561" s="31">
        <v>0</v>
      </c>
      <c r="O561" s="51">
        <f t="shared" si="8"/>
        <v>0</v>
      </c>
    </row>
    <row r="562" spans="8:15" s="61" customFormat="1" ht="14.25" customHeight="1">
      <c r="H562" s="35">
        <v>558</v>
      </c>
      <c r="I562" s="36" t="s">
        <v>1213</v>
      </c>
      <c r="J562" s="37" t="s">
        <v>1214</v>
      </c>
      <c r="K562" s="37" t="s">
        <v>4</v>
      </c>
      <c r="L562" s="32">
        <v>1E-4</v>
      </c>
      <c r="M562" s="32">
        <v>1E-4</v>
      </c>
      <c r="N562" s="31">
        <v>0</v>
      </c>
      <c r="O562" s="51">
        <f t="shared" si="8"/>
        <v>0</v>
      </c>
    </row>
    <row r="563" spans="8:15" s="61" customFormat="1" ht="14.25" customHeight="1">
      <c r="H563" s="35">
        <v>559</v>
      </c>
      <c r="I563" s="36" t="s">
        <v>1215</v>
      </c>
      <c r="J563" s="37" t="s">
        <v>1216</v>
      </c>
      <c r="K563" s="37" t="s">
        <v>9</v>
      </c>
      <c r="L563" s="32">
        <v>1E-4</v>
      </c>
      <c r="M563" s="32">
        <v>1E-4</v>
      </c>
      <c r="N563" s="31">
        <v>0</v>
      </c>
      <c r="O563" s="51">
        <f t="shared" si="8"/>
        <v>0</v>
      </c>
    </row>
    <row r="564" spans="8:15" s="61" customFormat="1" ht="14.25" customHeight="1">
      <c r="H564" s="35">
        <v>560</v>
      </c>
      <c r="I564" s="36" t="s">
        <v>1218</v>
      </c>
      <c r="J564" s="37" t="s">
        <v>1217</v>
      </c>
      <c r="K564" s="37" t="s">
        <v>9</v>
      </c>
      <c r="L564" s="32">
        <v>1E-4</v>
      </c>
      <c r="M564" s="32">
        <v>2.9999999999999997E-4</v>
      </c>
      <c r="N564" s="31">
        <v>20</v>
      </c>
      <c r="O564" s="51">
        <f t="shared" si="8"/>
        <v>8.0000000000000002E-3</v>
      </c>
    </row>
    <row r="565" spans="8:15" s="61" customFormat="1" ht="14.25" customHeight="1">
      <c r="H565" s="35">
        <v>561</v>
      </c>
      <c r="I565" s="36" t="s">
        <v>1106</v>
      </c>
      <c r="J565" s="37" t="s">
        <v>1107</v>
      </c>
      <c r="K565" s="37" t="s">
        <v>561</v>
      </c>
      <c r="L565" s="32">
        <v>1E-4</v>
      </c>
      <c r="M565" s="32">
        <v>1E-4</v>
      </c>
      <c r="N565" s="31">
        <f>D28*1</f>
        <v>1</v>
      </c>
      <c r="O565" s="51">
        <f t="shared" si="8"/>
        <v>2.0000000000000001E-4</v>
      </c>
    </row>
    <row r="566" spans="8:15" s="61" customFormat="1" ht="14.25" customHeight="1">
      <c r="H566" s="35">
        <v>562</v>
      </c>
      <c r="I566" s="36" t="s">
        <v>1108</v>
      </c>
      <c r="J566" s="37" t="s">
        <v>1109</v>
      </c>
      <c r="K566" s="37" t="s">
        <v>561</v>
      </c>
      <c r="L566" s="32">
        <v>1E-4</v>
      </c>
      <c r="M566" s="32">
        <v>1E-4</v>
      </c>
      <c r="N566" s="31">
        <f>D28*10</f>
        <v>10</v>
      </c>
      <c r="O566" s="51">
        <f t="shared" si="8"/>
        <v>2E-3</v>
      </c>
    </row>
    <row r="567" spans="8:15" s="61" customFormat="1" ht="14.25" customHeight="1">
      <c r="H567" s="35">
        <v>563</v>
      </c>
      <c r="I567" s="36" t="s">
        <v>1110</v>
      </c>
      <c r="J567" s="37" t="s">
        <v>1111</v>
      </c>
      <c r="K567" s="37" t="s">
        <v>561</v>
      </c>
      <c r="L567" s="32">
        <v>1E-4</v>
      </c>
      <c r="M567" s="32">
        <v>1E-4</v>
      </c>
      <c r="N567" s="31">
        <f>D28*N498*0.3</f>
        <v>880800</v>
      </c>
      <c r="O567" s="51">
        <f t="shared" si="8"/>
        <v>176.16</v>
      </c>
    </row>
    <row r="568" spans="8:15" s="61" customFormat="1" ht="14.25" customHeight="1">
      <c r="H568" s="35">
        <v>564</v>
      </c>
      <c r="I568" s="36" t="s">
        <v>1112</v>
      </c>
      <c r="J568" s="37" t="s">
        <v>1113</v>
      </c>
      <c r="K568" s="37" t="s">
        <v>561</v>
      </c>
      <c r="L568" s="32">
        <v>1E-4</v>
      </c>
      <c r="M568" s="32">
        <v>1E-4</v>
      </c>
      <c r="N568" s="31">
        <f>D28*N498*0.01</f>
        <v>29360</v>
      </c>
      <c r="O568" s="51">
        <f t="shared" si="8"/>
        <v>5.8719999999999999</v>
      </c>
    </row>
    <row r="569" spans="8:15" s="61" customFormat="1" ht="14.25" customHeight="1">
      <c r="H569" s="35">
        <v>565</v>
      </c>
      <c r="I569" s="36" t="s">
        <v>1114</v>
      </c>
      <c r="J569" s="37" t="s">
        <v>1115</v>
      </c>
      <c r="K569" s="37" t="s">
        <v>561</v>
      </c>
      <c r="L569" s="32">
        <v>1E-4</v>
      </c>
      <c r="M569" s="32">
        <v>1E-4</v>
      </c>
      <c r="N569" s="31">
        <f>D28*N499*0.01</f>
        <v>58720</v>
      </c>
      <c r="O569" s="51">
        <f t="shared" si="8"/>
        <v>11.744</v>
      </c>
    </row>
    <row r="570" spans="8:15" s="61" customFormat="1" ht="14.25" customHeight="1">
      <c r="H570" s="35">
        <v>566</v>
      </c>
      <c r="I570" s="36" t="s">
        <v>1116</v>
      </c>
      <c r="J570" s="37" t="s">
        <v>1117</v>
      </c>
      <c r="K570" s="37" t="s">
        <v>561</v>
      </c>
      <c r="L570" s="32">
        <v>1E-4</v>
      </c>
      <c r="M570" s="32">
        <v>1E-4</v>
      </c>
      <c r="N570" s="31">
        <v>0</v>
      </c>
      <c r="O570" s="51">
        <f t="shared" si="8"/>
        <v>0</v>
      </c>
    </row>
    <row r="571" spans="8:15" s="61" customFormat="1" ht="14.25" customHeight="1">
      <c r="H571" s="35">
        <v>567</v>
      </c>
      <c r="I571" s="36" t="s">
        <v>1118</v>
      </c>
      <c r="J571" s="37" t="s">
        <v>1119</v>
      </c>
      <c r="K571" s="37" t="s">
        <v>561</v>
      </c>
      <c r="L571" s="32">
        <v>1E-4</v>
      </c>
      <c r="M571" s="32">
        <v>1E-4</v>
      </c>
      <c r="N571" s="31">
        <v>0</v>
      </c>
      <c r="O571" s="51">
        <f t="shared" si="8"/>
        <v>0</v>
      </c>
    </row>
    <row r="572" spans="8:15" s="61" customFormat="1" ht="14.25" customHeight="1">
      <c r="H572" s="35">
        <v>568</v>
      </c>
      <c r="I572" s="36" t="s">
        <v>1120</v>
      </c>
      <c r="J572" s="37" t="s">
        <v>1121</v>
      </c>
      <c r="K572" s="37" t="s">
        <v>4</v>
      </c>
      <c r="L572" s="32">
        <v>1E-4</v>
      </c>
      <c r="M572" s="32">
        <v>1E-4</v>
      </c>
      <c r="N572" s="31">
        <v>0</v>
      </c>
      <c r="O572" s="51">
        <f t="shared" si="8"/>
        <v>0</v>
      </c>
    </row>
    <row r="573" spans="8:15" s="61" customFormat="1" ht="14.25" customHeight="1">
      <c r="H573" s="35">
        <v>569</v>
      </c>
      <c r="I573" s="36" t="s">
        <v>1122</v>
      </c>
      <c r="J573" s="37" t="s">
        <v>1123</v>
      </c>
      <c r="K573" s="37" t="s">
        <v>4</v>
      </c>
      <c r="L573" s="32">
        <v>1E-4</v>
      </c>
      <c r="M573" s="32">
        <v>1E-4</v>
      </c>
      <c r="N573" s="27">
        <f>D28*D33</f>
        <v>3000</v>
      </c>
      <c r="O573" s="51">
        <f t="shared" si="8"/>
        <v>0.6</v>
      </c>
    </row>
    <row r="574" spans="8:15" s="61" customFormat="1" ht="14.25" customHeight="1">
      <c r="H574" s="35">
        <v>570</v>
      </c>
      <c r="I574" s="36" t="s">
        <v>1124</v>
      </c>
      <c r="J574" s="37" t="s">
        <v>1125</v>
      </c>
      <c r="K574" s="37" t="s">
        <v>4</v>
      </c>
      <c r="L574" s="32">
        <v>1E-4</v>
      </c>
      <c r="M574" s="32">
        <v>1E-4</v>
      </c>
      <c r="N574" s="31">
        <f>D28*N104</f>
        <v>1200000</v>
      </c>
      <c r="O574" s="51">
        <f t="shared" si="8"/>
        <v>240</v>
      </c>
    </row>
    <row r="575" spans="8:15" s="61" customFormat="1" ht="14.25" customHeight="1">
      <c r="H575" s="35">
        <v>571</v>
      </c>
      <c r="I575" s="36" t="s">
        <v>1126</v>
      </c>
      <c r="J575" s="37" t="s">
        <v>1127</v>
      </c>
      <c r="K575" s="37" t="s">
        <v>4</v>
      </c>
      <c r="L575" s="32">
        <v>1E-4</v>
      </c>
      <c r="M575" s="32">
        <v>1E-4</v>
      </c>
      <c r="N575" s="31">
        <v>0</v>
      </c>
      <c r="O575" s="51">
        <f t="shared" si="8"/>
        <v>0</v>
      </c>
    </row>
    <row r="576" spans="8:15" s="61" customFormat="1" ht="14.25" customHeight="1">
      <c r="H576" s="35">
        <v>572</v>
      </c>
      <c r="I576" s="36" t="s">
        <v>1128</v>
      </c>
      <c r="J576" s="37" t="s">
        <v>1129</v>
      </c>
      <c r="K576" s="37" t="s">
        <v>4</v>
      </c>
      <c r="L576" s="32">
        <v>1E-4</v>
      </c>
      <c r="M576" s="32">
        <v>1E-4</v>
      </c>
      <c r="N576" s="31">
        <v>0</v>
      </c>
      <c r="O576" s="51">
        <f t="shared" si="8"/>
        <v>0</v>
      </c>
    </row>
    <row r="577" spans="2:15" s="61" customFormat="1" ht="14.25" customHeight="1">
      <c r="H577" s="35">
        <v>573</v>
      </c>
      <c r="I577" s="36" t="s">
        <v>1130</v>
      </c>
      <c r="J577" s="37" t="s">
        <v>1131</v>
      </c>
      <c r="K577" s="37" t="s">
        <v>4</v>
      </c>
      <c r="L577" s="32">
        <v>1E-4</v>
      </c>
      <c r="M577" s="32">
        <v>1E-4</v>
      </c>
      <c r="N577" s="31">
        <v>0</v>
      </c>
      <c r="O577" s="51">
        <f t="shared" si="8"/>
        <v>0</v>
      </c>
    </row>
    <row r="578" spans="2:15" s="61" customFormat="1" ht="14.25" customHeight="1">
      <c r="H578" s="35">
        <v>574</v>
      </c>
      <c r="I578" s="36" t="s">
        <v>1132</v>
      </c>
      <c r="J578" s="37" t="s">
        <v>1133</v>
      </c>
      <c r="K578" s="37" t="s">
        <v>4</v>
      </c>
      <c r="L578" s="32">
        <v>1E-4</v>
      </c>
      <c r="M578" s="32">
        <v>2.9999999999999997E-4</v>
      </c>
      <c r="N578" s="31">
        <v>0</v>
      </c>
      <c r="O578" s="51">
        <f t="shared" si="8"/>
        <v>0</v>
      </c>
    </row>
    <row r="579" spans="2:15" s="61" customFormat="1" ht="14.25" customHeight="1">
      <c r="H579" s="35">
        <v>575</v>
      </c>
      <c r="I579" s="36" t="s">
        <v>1134</v>
      </c>
      <c r="J579" s="37" t="s">
        <v>1135</v>
      </c>
      <c r="K579" s="37" t="s">
        <v>4</v>
      </c>
      <c r="L579" s="32">
        <v>1E-4</v>
      </c>
      <c r="M579" s="32">
        <v>2.0000000000000001E-4</v>
      </c>
      <c r="N579" s="31">
        <v>0</v>
      </c>
      <c r="O579" s="51">
        <f t="shared" si="8"/>
        <v>0</v>
      </c>
    </row>
    <row r="580" spans="2:15" s="61" customFormat="1" ht="14.25" customHeight="1">
      <c r="H580" s="35">
        <v>576</v>
      </c>
      <c r="I580" s="36" t="s">
        <v>1136</v>
      </c>
      <c r="J580" s="37" t="s">
        <v>1137</v>
      </c>
      <c r="K580" s="37" t="s">
        <v>9</v>
      </c>
      <c r="L580" s="32">
        <v>1E-4</v>
      </c>
      <c r="M580" s="32">
        <v>1E-4</v>
      </c>
      <c r="N580" s="31">
        <f>D81*1</f>
        <v>0</v>
      </c>
      <c r="O580" s="51">
        <f t="shared" si="8"/>
        <v>0</v>
      </c>
    </row>
    <row r="581" spans="2:15" s="61" customFormat="1" ht="14.25" customHeight="1">
      <c r="H581" s="35">
        <v>577</v>
      </c>
      <c r="I581" s="36" t="s">
        <v>1138</v>
      </c>
      <c r="J581" s="37" t="s">
        <v>1139</v>
      </c>
      <c r="K581" s="37" t="s">
        <v>9</v>
      </c>
      <c r="L581" s="32">
        <v>1E-4</v>
      </c>
      <c r="M581" s="32">
        <v>1E-4</v>
      </c>
      <c r="N581" s="31">
        <v>0</v>
      </c>
      <c r="O581" s="51">
        <f t="shared" ref="O581:O639" si="9">(L581+M581)*N581</f>
        <v>0</v>
      </c>
    </row>
    <row r="582" spans="2:15" s="61" customFormat="1" ht="14.25" customHeight="1">
      <c r="H582" s="35">
        <v>578</v>
      </c>
      <c r="I582" s="36" t="s">
        <v>1140</v>
      </c>
      <c r="J582" s="37" t="s">
        <v>1141</v>
      </c>
      <c r="K582" s="37" t="s">
        <v>9</v>
      </c>
      <c r="L582" s="32">
        <v>1E-4</v>
      </c>
      <c r="M582" s="32">
        <v>1E-4</v>
      </c>
      <c r="N582" s="31">
        <f>D81*1</f>
        <v>0</v>
      </c>
      <c r="O582" s="51">
        <f t="shared" si="9"/>
        <v>0</v>
      </c>
    </row>
    <row r="583" spans="2:15" s="61" customFormat="1" ht="14.25" customHeight="1">
      <c r="H583" s="35">
        <v>579</v>
      </c>
      <c r="I583" s="36" t="s">
        <v>1142</v>
      </c>
      <c r="J583" s="37" t="s">
        <v>1143</v>
      </c>
      <c r="K583" s="37" t="s">
        <v>9</v>
      </c>
      <c r="L583" s="32">
        <v>1E-4</v>
      </c>
      <c r="M583" s="32">
        <v>1E-4</v>
      </c>
      <c r="N583" s="31">
        <f>D81*N33</f>
        <v>0</v>
      </c>
      <c r="O583" s="51">
        <f t="shared" si="9"/>
        <v>0</v>
      </c>
    </row>
    <row r="584" spans="2:15" s="61" customFormat="1" ht="14.25" customHeight="1">
      <c r="H584" s="35">
        <v>580</v>
      </c>
      <c r="I584" s="36" t="s">
        <v>1278</v>
      </c>
      <c r="J584" s="37" t="s">
        <v>1233</v>
      </c>
      <c r="K584" s="37" t="s">
        <v>561</v>
      </c>
      <c r="L584" s="32">
        <v>1E-4</v>
      </c>
      <c r="M584" s="32">
        <v>1E-4</v>
      </c>
      <c r="N584" s="31">
        <f>D72*365*D19</f>
        <v>0</v>
      </c>
      <c r="O584" s="51">
        <f t="shared" si="9"/>
        <v>0</v>
      </c>
    </row>
    <row r="585" spans="2:15" s="61" customFormat="1" ht="14.25" customHeight="1">
      <c r="H585" s="35">
        <v>581</v>
      </c>
      <c r="I585" s="36" t="s">
        <v>1224</v>
      </c>
      <c r="J585" s="37" t="s">
        <v>1234</v>
      </c>
      <c r="K585" s="37" t="s">
        <v>4</v>
      </c>
      <c r="L585" s="32">
        <v>1E-4</v>
      </c>
      <c r="M585" s="32">
        <v>1E-4</v>
      </c>
      <c r="N585" s="31">
        <f>D72*365*D19</f>
        <v>0</v>
      </c>
      <c r="O585" s="51">
        <f t="shared" si="9"/>
        <v>0</v>
      </c>
    </row>
    <row r="586" spans="2:15" s="61" customFormat="1" ht="14.25" customHeight="1">
      <c r="B586"/>
      <c r="C586"/>
      <c r="D586"/>
      <c r="E586"/>
      <c r="F586"/>
      <c r="H586" s="35">
        <v>582</v>
      </c>
      <c r="I586" s="36" t="s">
        <v>1225</v>
      </c>
      <c r="J586" s="37" t="s">
        <v>1235</v>
      </c>
      <c r="K586" s="37" t="s">
        <v>4</v>
      </c>
      <c r="L586" s="32">
        <v>1E-4</v>
      </c>
      <c r="M586" s="32">
        <v>1E-4</v>
      </c>
      <c r="N586" s="31">
        <f>D72*N19*D19</f>
        <v>0</v>
      </c>
      <c r="O586" s="51">
        <f t="shared" si="9"/>
        <v>0</v>
      </c>
    </row>
    <row r="587" spans="2:15" s="61" customFormat="1" ht="14.25" customHeight="1">
      <c r="B587"/>
      <c r="C587"/>
      <c r="D587"/>
      <c r="E587"/>
      <c r="F587"/>
      <c r="H587" s="35">
        <v>583</v>
      </c>
      <c r="I587" s="36" t="s">
        <v>1226</v>
      </c>
      <c r="J587" s="37" t="s">
        <v>1236</v>
      </c>
      <c r="K587" s="37" t="s">
        <v>4</v>
      </c>
      <c r="L587" s="32">
        <v>1E-4</v>
      </c>
      <c r="M587" s="32">
        <v>1E-4</v>
      </c>
      <c r="N587" s="31">
        <f>D72*N146*D19</f>
        <v>0</v>
      </c>
      <c r="O587" s="51">
        <f t="shared" si="9"/>
        <v>0</v>
      </c>
    </row>
    <row r="588" spans="2:15" s="61" customFormat="1" ht="14.25" customHeight="1">
      <c r="B588"/>
      <c r="C588"/>
      <c r="D588"/>
      <c r="E588"/>
      <c r="F588"/>
      <c r="H588" s="35">
        <v>584</v>
      </c>
      <c r="I588" s="36" t="s">
        <v>1227</v>
      </c>
      <c r="J588" s="37" t="s">
        <v>1237</v>
      </c>
      <c r="K588" s="37" t="s">
        <v>4</v>
      </c>
      <c r="L588" s="32">
        <v>1E-4</v>
      </c>
      <c r="M588" s="32">
        <v>1E-4</v>
      </c>
      <c r="N588" s="31">
        <f>D72*N55*0.05*D19</f>
        <v>0</v>
      </c>
      <c r="O588" s="51">
        <f t="shared" si="9"/>
        <v>0</v>
      </c>
    </row>
    <row r="589" spans="2:15" s="61" customFormat="1" ht="14.25" customHeight="1">
      <c r="B589"/>
      <c r="C589"/>
      <c r="D589"/>
      <c r="E589"/>
      <c r="F589"/>
      <c r="H589" s="35">
        <v>585</v>
      </c>
      <c r="I589" s="36" t="s">
        <v>1228</v>
      </c>
      <c r="J589" s="37" t="s">
        <v>1238</v>
      </c>
      <c r="K589" s="37" t="s">
        <v>4</v>
      </c>
      <c r="L589" s="32">
        <v>1E-4</v>
      </c>
      <c r="M589" s="32">
        <v>1E-4</v>
      </c>
      <c r="N589" s="31">
        <f>D72*N196*0.05*D19</f>
        <v>0</v>
      </c>
      <c r="O589" s="51">
        <f t="shared" si="9"/>
        <v>0</v>
      </c>
    </row>
    <row r="590" spans="2:15" s="61" customFormat="1" ht="14.25" customHeight="1">
      <c r="B590"/>
      <c r="C590"/>
      <c r="D590"/>
      <c r="E590"/>
      <c r="F590"/>
      <c r="H590" s="35">
        <v>586</v>
      </c>
      <c r="I590" s="36" t="s">
        <v>1229</v>
      </c>
      <c r="J590" s="37" t="s">
        <v>1239</v>
      </c>
      <c r="K590" s="37" t="s">
        <v>4</v>
      </c>
      <c r="L590" s="32">
        <v>1E-4</v>
      </c>
      <c r="M590" s="32">
        <v>1E-4</v>
      </c>
      <c r="N590" s="31">
        <f>D72*D19</f>
        <v>0</v>
      </c>
      <c r="O590" s="51">
        <f t="shared" si="9"/>
        <v>0</v>
      </c>
    </row>
    <row r="591" spans="2:15" s="61" customFormat="1" ht="14.25" customHeight="1">
      <c r="H591" s="35">
        <v>587</v>
      </c>
      <c r="I591" s="36" t="s">
        <v>1230</v>
      </c>
      <c r="J591" s="37" t="s">
        <v>1240</v>
      </c>
      <c r="K591" s="37" t="s">
        <v>4</v>
      </c>
      <c r="L591" s="32">
        <v>1E-4</v>
      </c>
      <c r="M591" s="32">
        <v>1E-4</v>
      </c>
      <c r="N591" s="31">
        <f>D72*365*D19</f>
        <v>0</v>
      </c>
      <c r="O591" s="51">
        <f t="shared" si="9"/>
        <v>0</v>
      </c>
    </row>
    <row r="592" spans="2:15" s="61" customFormat="1" ht="14.25" customHeight="1">
      <c r="H592" s="35">
        <v>588</v>
      </c>
      <c r="I592" s="36" t="s">
        <v>1231</v>
      </c>
      <c r="J592" s="37" t="s">
        <v>1241</v>
      </c>
      <c r="K592" s="37" t="s">
        <v>4</v>
      </c>
      <c r="L592" s="32">
        <v>1E-4</v>
      </c>
      <c r="M592" s="32">
        <v>2.0000000000000001E-4</v>
      </c>
      <c r="N592" s="31">
        <f>D72*N122*0.05*D19/12</f>
        <v>0</v>
      </c>
      <c r="O592" s="51">
        <f t="shared" si="9"/>
        <v>0</v>
      </c>
    </row>
    <row r="593" spans="8:15" s="61" customFormat="1" ht="14.25" customHeight="1">
      <c r="H593" s="35">
        <v>589</v>
      </c>
      <c r="I593" s="36" t="s">
        <v>1232</v>
      </c>
      <c r="J593" s="37" t="s">
        <v>1242</v>
      </c>
      <c r="K593" s="37" t="s">
        <v>4</v>
      </c>
      <c r="L593" s="32">
        <v>1E-4</v>
      </c>
      <c r="M593" s="32">
        <v>2.0000000000000001E-4</v>
      </c>
      <c r="N593" s="31">
        <f>D72*N499*0.05*D19/12</f>
        <v>0</v>
      </c>
      <c r="O593" s="51">
        <f t="shared" si="9"/>
        <v>0</v>
      </c>
    </row>
    <row r="594" spans="8:15" s="61" customFormat="1" ht="14.25" customHeight="1">
      <c r="H594" s="35">
        <v>590</v>
      </c>
      <c r="I594" s="36" t="s">
        <v>1243</v>
      </c>
      <c r="J594" s="37" t="s">
        <v>1261</v>
      </c>
      <c r="K594" s="37" t="s">
        <v>4</v>
      </c>
      <c r="L594" s="32">
        <v>1E-4</v>
      </c>
      <c r="M594" s="32">
        <v>1E-4</v>
      </c>
      <c r="N594" s="31">
        <v>365</v>
      </c>
      <c r="O594" s="51">
        <f t="shared" si="9"/>
        <v>7.3000000000000009E-2</v>
      </c>
    </row>
    <row r="595" spans="8:15" s="61" customFormat="1" ht="14.25" customHeight="1">
      <c r="H595" s="35">
        <v>591</v>
      </c>
      <c r="I595" s="36" t="s">
        <v>1244</v>
      </c>
      <c r="J595" s="37" t="s">
        <v>1293</v>
      </c>
      <c r="K595" s="37" t="s">
        <v>4</v>
      </c>
      <c r="L595" s="32">
        <v>1E-4</v>
      </c>
      <c r="M595" s="32">
        <v>1E-4</v>
      </c>
      <c r="N595" s="31">
        <v>730</v>
      </c>
      <c r="O595" s="51">
        <f t="shared" si="9"/>
        <v>0.14600000000000002</v>
      </c>
    </row>
    <row r="596" spans="8:15" s="61" customFormat="1" ht="14.25" customHeight="1">
      <c r="H596" s="35">
        <v>592</v>
      </c>
      <c r="I596" s="36" t="s">
        <v>1245</v>
      </c>
      <c r="J596" s="37" t="s">
        <v>1286</v>
      </c>
      <c r="K596" s="37" t="s">
        <v>4</v>
      </c>
      <c r="L596" s="32">
        <v>1E-4</v>
      </c>
      <c r="M596" s="32">
        <v>1E-4</v>
      </c>
      <c r="N596" s="31">
        <v>13</v>
      </c>
      <c r="O596" s="51">
        <f t="shared" si="9"/>
        <v>2.6000000000000003E-3</v>
      </c>
    </row>
    <row r="597" spans="8:15" s="61" customFormat="1" ht="14.25" customHeight="1">
      <c r="H597" s="35">
        <v>593</v>
      </c>
      <c r="I597" s="36" t="s">
        <v>1246</v>
      </c>
      <c r="J597" s="37" t="s">
        <v>1294</v>
      </c>
      <c r="K597" s="37" t="s">
        <v>4</v>
      </c>
      <c r="L597" s="32">
        <v>1E-4</v>
      </c>
      <c r="M597" s="32">
        <v>1E-4</v>
      </c>
      <c r="N597" s="31">
        <v>20</v>
      </c>
      <c r="O597" s="51">
        <f t="shared" si="9"/>
        <v>4.0000000000000001E-3</v>
      </c>
    </row>
    <row r="598" spans="8:15" s="61" customFormat="1" ht="14.25" customHeight="1">
      <c r="H598" s="35">
        <v>594</v>
      </c>
      <c r="I598" s="36" t="s">
        <v>1247</v>
      </c>
      <c r="J598" s="37" t="s">
        <v>1262</v>
      </c>
      <c r="K598" s="37" t="s">
        <v>4</v>
      </c>
      <c r="L598" s="32">
        <v>1E-4</v>
      </c>
      <c r="M598" s="32">
        <v>1E-4</v>
      </c>
      <c r="N598" s="31">
        <v>20</v>
      </c>
      <c r="O598" s="51">
        <f t="shared" si="9"/>
        <v>4.0000000000000001E-3</v>
      </c>
    </row>
    <row r="599" spans="8:15" s="61" customFormat="1" ht="14.25" customHeight="1">
      <c r="H599" s="85">
        <v>595</v>
      </c>
      <c r="I599" s="86" t="s">
        <v>1362</v>
      </c>
      <c r="J599" s="87" t="s">
        <v>1361</v>
      </c>
      <c r="K599" s="87" t="s">
        <v>4</v>
      </c>
      <c r="L599" s="88">
        <v>1E-4</v>
      </c>
      <c r="M599" s="88">
        <v>2.9999999999999997E-4</v>
      </c>
      <c r="N599" s="31">
        <f>N634*60</f>
        <v>1200</v>
      </c>
      <c r="O599" s="89">
        <f t="shared" si="9"/>
        <v>0.48</v>
      </c>
    </row>
    <row r="600" spans="8:15" s="61" customFormat="1" ht="14.25" customHeight="1">
      <c r="H600" s="85">
        <v>596</v>
      </c>
      <c r="I600" s="86" t="s">
        <v>1282</v>
      </c>
      <c r="J600" s="87" t="s">
        <v>1283</v>
      </c>
      <c r="K600" s="87" t="s">
        <v>4</v>
      </c>
      <c r="L600" s="88">
        <v>1E-4</v>
      </c>
      <c r="M600" s="88">
        <v>2.9999999999999997E-4</v>
      </c>
      <c r="N600" s="31">
        <f>D53*12*D19</f>
        <v>18000</v>
      </c>
      <c r="O600" s="89">
        <f t="shared" si="9"/>
        <v>7.1999999999999993</v>
      </c>
    </row>
    <row r="601" spans="8:15" s="61" customFormat="1" ht="14.25" customHeight="1">
      <c r="H601" s="35">
        <v>597</v>
      </c>
      <c r="I601" s="36" t="s">
        <v>1284</v>
      </c>
      <c r="J601" s="37" t="s">
        <v>1285</v>
      </c>
      <c r="K601" s="37" t="s">
        <v>4</v>
      </c>
      <c r="L601" s="32">
        <v>1E-4</v>
      </c>
      <c r="M601" s="32">
        <v>2.9999999999999997E-4</v>
      </c>
      <c r="N601" s="31">
        <f>D53*6*187*12*D19</f>
        <v>20196000</v>
      </c>
      <c r="O601" s="51">
        <f t="shared" si="9"/>
        <v>8078.4</v>
      </c>
    </row>
    <row r="602" spans="8:15" s="61" customFormat="1" ht="14.25" customHeight="1">
      <c r="H602" s="35">
        <v>598</v>
      </c>
      <c r="I602" s="36" t="s">
        <v>1248</v>
      </c>
      <c r="J602" s="37" t="s">
        <v>1263</v>
      </c>
      <c r="K602" s="37" t="s">
        <v>4</v>
      </c>
      <c r="L602" s="32">
        <v>1E-4</v>
      </c>
      <c r="M602" s="32">
        <v>2.9999999999999997E-4</v>
      </c>
      <c r="N602" s="31">
        <f>D38*12*D19</f>
        <v>18000</v>
      </c>
      <c r="O602" s="51">
        <f t="shared" si="9"/>
        <v>7.1999999999999993</v>
      </c>
    </row>
    <row r="603" spans="8:15" s="61" customFormat="1" ht="14.25" customHeight="1">
      <c r="H603" s="35">
        <v>599</v>
      </c>
      <c r="I603" s="36" t="s">
        <v>1249</v>
      </c>
      <c r="J603" s="37" t="s">
        <v>1264</v>
      </c>
      <c r="K603" s="37" t="s">
        <v>4</v>
      </c>
      <c r="L603" s="32">
        <v>1E-4</v>
      </c>
      <c r="M603" s="32">
        <v>2.0000000000000001E-4</v>
      </c>
      <c r="N603" s="31">
        <f>D38*6*187*12*D19</f>
        <v>20196000</v>
      </c>
      <c r="O603" s="51">
        <f t="shared" si="9"/>
        <v>6058.8</v>
      </c>
    </row>
    <row r="604" spans="8:15" s="61" customFormat="1" ht="14.25" customHeight="1">
      <c r="H604" s="35">
        <v>600</v>
      </c>
      <c r="I604" s="36" t="s">
        <v>1250</v>
      </c>
      <c r="J604" s="37" t="s">
        <v>1265</v>
      </c>
      <c r="K604" s="37" t="s">
        <v>4</v>
      </c>
      <c r="L604" s="32">
        <v>1E-4</v>
      </c>
      <c r="M604" s="32">
        <v>1E-4</v>
      </c>
      <c r="N604" s="31">
        <f>D38*12*D19</f>
        <v>18000</v>
      </c>
      <c r="O604" s="51">
        <f t="shared" si="9"/>
        <v>3.6</v>
      </c>
    </row>
    <row r="605" spans="8:15" s="61" customFormat="1" ht="14.25" customHeight="1">
      <c r="H605" s="35">
        <v>601</v>
      </c>
      <c r="I605" s="36" t="s">
        <v>1251</v>
      </c>
      <c r="J605" s="37" t="s">
        <v>1287</v>
      </c>
      <c r="K605" s="37" t="s">
        <v>4</v>
      </c>
      <c r="L605" s="32">
        <v>1E-4</v>
      </c>
      <c r="M605" s="32">
        <v>1E-4</v>
      </c>
      <c r="N605" s="31">
        <v>436</v>
      </c>
      <c r="O605" s="51">
        <f t="shared" si="9"/>
        <v>8.72E-2</v>
      </c>
    </row>
    <row r="606" spans="8:15" s="61" customFormat="1" ht="14.25" customHeight="1">
      <c r="H606" s="35">
        <v>602</v>
      </c>
      <c r="I606" s="36" t="s">
        <v>1252</v>
      </c>
      <c r="J606" s="37" t="s">
        <v>1301</v>
      </c>
      <c r="K606" s="37" t="s">
        <v>4</v>
      </c>
      <c r="L606" s="32">
        <v>1E-4</v>
      </c>
      <c r="M606" s="32">
        <v>1E-4</v>
      </c>
      <c r="N606" s="31">
        <f>1*12*D19</f>
        <v>120</v>
      </c>
      <c r="O606" s="51">
        <f t="shared" si="9"/>
        <v>2.4E-2</v>
      </c>
    </row>
    <row r="607" spans="8:15" s="61" customFormat="1" ht="14.25" customHeight="1">
      <c r="H607" s="35">
        <v>603</v>
      </c>
      <c r="I607" s="36" t="s">
        <v>1253</v>
      </c>
      <c r="J607" s="37" t="s">
        <v>1300</v>
      </c>
      <c r="K607" s="37" t="s">
        <v>4</v>
      </c>
      <c r="L607" s="32">
        <v>1E-4</v>
      </c>
      <c r="M607" s="32">
        <v>4.0000000000000002E-4</v>
      </c>
      <c r="N607" s="31">
        <f>1*12*D19</f>
        <v>120</v>
      </c>
      <c r="O607" s="51">
        <f t="shared" si="9"/>
        <v>0.06</v>
      </c>
    </row>
    <row r="608" spans="8:15" s="61" customFormat="1" ht="14.25" customHeight="1">
      <c r="H608" s="35">
        <v>604</v>
      </c>
      <c r="I608" s="36" t="s">
        <v>1254</v>
      </c>
      <c r="J608" s="37" t="s">
        <v>1299</v>
      </c>
      <c r="K608" s="37" t="s">
        <v>4</v>
      </c>
      <c r="L608" s="32">
        <v>1E-4</v>
      </c>
      <c r="M608" s="32">
        <v>1E-4</v>
      </c>
      <c r="N608" s="31">
        <f>20*12*D19</f>
        <v>2400</v>
      </c>
      <c r="O608" s="51">
        <f t="shared" si="9"/>
        <v>0.48000000000000004</v>
      </c>
    </row>
    <row r="609" spans="8:15" s="61" customFormat="1" ht="14.25" customHeight="1">
      <c r="H609" s="35">
        <v>605</v>
      </c>
      <c r="I609" s="36" t="s">
        <v>1255</v>
      </c>
      <c r="J609" s="37" t="s">
        <v>1288</v>
      </c>
      <c r="K609" s="37" t="s">
        <v>4</v>
      </c>
      <c r="L609" s="32">
        <v>1E-4</v>
      </c>
      <c r="M609" s="32">
        <v>1E-4</v>
      </c>
      <c r="N609" s="31">
        <v>730</v>
      </c>
      <c r="O609" s="51">
        <f t="shared" si="9"/>
        <v>0.14600000000000002</v>
      </c>
    </row>
    <row r="610" spans="8:15" s="61" customFormat="1" ht="14.25" customHeight="1">
      <c r="H610" s="35">
        <v>606</v>
      </c>
      <c r="I610" s="36" t="s">
        <v>1256</v>
      </c>
      <c r="J610" s="37" t="s">
        <v>1289</v>
      </c>
      <c r="K610" s="37" t="s">
        <v>4</v>
      </c>
      <c r="L610" s="32">
        <v>1E-4</v>
      </c>
      <c r="M610" s="32">
        <v>1E-4</v>
      </c>
      <c r="N610" s="31">
        <v>6</v>
      </c>
      <c r="O610" s="51">
        <f t="shared" si="9"/>
        <v>1.2000000000000001E-3</v>
      </c>
    </row>
    <row r="611" spans="8:15" s="61" customFormat="1" ht="14.25" customHeight="1">
      <c r="H611" s="35">
        <v>607</v>
      </c>
      <c r="I611" s="36" t="s">
        <v>1257</v>
      </c>
      <c r="J611" s="37" t="s">
        <v>1290</v>
      </c>
      <c r="K611" s="37" t="s">
        <v>4</v>
      </c>
      <c r="L611" s="32">
        <v>1E-4</v>
      </c>
      <c r="M611" s="32">
        <v>1E-4</v>
      </c>
      <c r="N611" s="31">
        <v>12</v>
      </c>
      <c r="O611" s="51">
        <f t="shared" si="9"/>
        <v>2.4000000000000002E-3</v>
      </c>
    </row>
    <row r="612" spans="8:15" s="61" customFormat="1" ht="14.25" customHeight="1">
      <c r="H612" s="35">
        <v>608</v>
      </c>
      <c r="I612" s="36" t="s">
        <v>1258</v>
      </c>
      <c r="J612" s="37" t="s">
        <v>1291</v>
      </c>
      <c r="K612" s="37" t="s">
        <v>4</v>
      </c>
      <c r="L612" s="32">
        <v>1E-4</v>
      </c>
      <c r="M612" s="32">
        <v>1E-4</v>
      </c>
      <c r="N612" s="31">
        <v>403</v>
      </c>
      <c r="O612" s="51">
        <f t="shared" si="9"/>
        <v>8.0600000000000005E-2</v>
      </c>
    </row>
    <row r="613" spans="8:15" s="61" customFormat="1" ht="14.25" customHeight="1">
      <c r="H613" s="35">
        <v>609</v>
      </c>
      <c r="I613" s="36" t="s">
        <v>1259</v>
      </c>
      <c r="J613" s="37" t="s">
        <v>1292</v>
      </c>
      <c r="K613" s="37" t="s">
        <v>4</v>
      </c>
      <c r="L613" s="32">
        <v>1E-4</v>
      </c>
      <c r="M613" s="32">
        <v>1E-4</v>
      </c>
      <c r="N613" s="31">
        <v>806</v>
      </c>
      <c r="O613" s="51">
        <f t="shared" si="9"/>
        <v>0.16120000000000001</v>
      </c>
    </row>
    <row r="614" spans="8:15" s="61" customFormat="1" ht="14.25" customHeight="1">
      <c r="H614" s="35">
        <v>610</v>
      </c>
      <c r="I614" s="36" t="s">
        <v>1260</v>
      </c>
      <c r="J614" s="37" t="s">
        <v>1298</v>
      </c>
      <c r="K614" s="37" t="s">
        <v>4</v>
      </c>
      <c r="L614" s="32">
        <v>1E-4</v>
      </c>
      <c r="M614" s="32">
        <v>1E-4</v>
      </c>
      <c r="N614" s="31">
        <v>0</v>
      </c>
      <c r="O614" s="51">
        <f t="shared" si="9"/>
        <v>0</v>
      </c>
    </row>
    <row r="615" spans="8:15" s="61" customFormat="1" ht="14.25" customHeight="1">
      <c r="H615" s="35">
        <v>611</v>
      </c>
      <c r="I615" s="36" t="s">
        <v>1310</v>
      </c>
      <c r="J615" s="37" t="s">
        <v>1267</v>
      </c>
      <c r="K615" s="37" t="s">
        <v>4</v>
      </c>
      <c r="L615" s="32">
        <v>1E-4</v>
      </c>
      <c r="M615" s="32">
        <v>1E-4</v>
      </c>
      <c r="N615" s="31">
        <f>N124*2*6*12*D19</f>
        <v>7200</v>
      </c>
      <c r="O615" s="51">
        <f t="shared" si="9"/>
        <v>1.4400000000000002</v>
      </c>
    </row>
    <row r="616" spans="8:15" s="61" customFormat="1" ht="14.25" customHeight="1">
      <c r="H616" s="35">
        <v>612</v>
      </c>
      <c r="I616" s="36" t="s">
        <v>1266</v>
      </c>
      <c r="J616" s="37" t="s">
        <v>1268</v>
      </c>
      <c r="K616" s="37" t="s">
        <v>4</v>
      </c>
      <c r="L616" s="32">
        <v>1E-4</v>
      </c>
      <c r="M616" s="32">
        <v>1E-4</v>
      </c>
      <c r="N616" s="31">
        <f>N94*0.9</f>
        <v>20700</v>
      </c>
      <c r="O616" s="51">
        <f t="shared" si="9"/>
        <v>4.1400000000000006</v>
      </c>
    </row>
    <row r="617" spans="8:15" s="61" customFormat="1" ht="14.25" customHeight="1">
      <c r="H617" s="35">
        <v>613</v>
      </c>
      <c r="I617" s="36" t="s">
        <v>1314</v>
      </c>
      <c r="J617" s="37" t="s">
        <v>1326</v>
      </c>
      <c r="K617" s="37" t="s">
        <v>4</v>
      </c>
      <c r="L617" s="32">
        <v>1E-4</v>
      </c>
      <c r="M617" s="32">
        <v>1E-4</v>
      </c>
      <c r="N617" s="31">
        <f>D38</f>
        <v>150</v>
      </c>
      <c r="O617" s="51">
        <f t="shared" si="9"/>
        <v>3.0000000000000002E-2</v>
      </c>
    </row>
    <row r="618" spans="8:15" s="61" customFormat="1" ht="14.25" customHeight="1">
      <c r="H618" s="35">
        <v>614</v>
      </c>
      <c r="I618" s="36" t="s">
        <v>1346</v>
      </c>
      <c r="J618" s="37" t="s">
        <v>1327</v>
      </c>
      <c r="K618" s="37" t="s">
        <v>4</v>
      </c>
      <c r="L618" s="32">
        <v>1E-4</v>
      </c>
      <c r="M618" s="32">
        <v>2.0000000000000001E-4</v>
      </c>
      <c r="N618" s="31">
        <f>D38*10</f>
        <v>1500</v>
      </c>
      <c r="O618" s="51">
        <f t="shared" si="9"/>
        <v>0.45000000000000007</v>
      </c>
    </row>
    <row r="619" spans="8:15" s="61" customFormat="1" ht="14.25" customHeight="1">
      <c r="H619" s="35">
        <v>615</v>
      </c>
      <c r="I619" s="36" t="s">
        <v>1315</v>
      </c>
      <c r="J619" s="37" t="s">
        <v>1328</v>
      </c>
      <c r="K619" s="37" t="s">
        <v>4</v>
      </c>
      <c r="L619" s="32">
        <v>1E-4</v>
      </c>
      <c r="M619" s="32">
        <v>2.0000000000000001E-4</v>
      </c>
      <c r="N619" s="31">
        <f>N618*2</f>
        <v>3000</v>
      </c>
      <c r="O619" s="51">
        <f t="shared" si="9"/>
        <v>0.90000000000000013</v>
      </c>
    </row>
    <row r="620" spans="8:15" s="61" customFormat="1" ht="14.25" customHeight="1">
      <c r="H620" s="35">
        <v>616</v>
      </c>
      <c r="I620" s="36" t="s">
        <v>1316</v>
      </c>
      <c r="J620" s="37" t="s">
        <v>1329</v>
      </c>
      <c r="K620" s="37" t="s">
        <v>4</v>
      </c>
      <c r="L620" s="32">
        <v>1E-4</v>
      </c>
      <c r="M620" s="32">
        <v>2.0000000000000001E-4</v>
      </c>
      <c r="N620" s="31">
        <f>D38*0.2</f>
        <v>30</v>
      </c>
      <c r="O620" s="51">
        <f t="shared" si="9"/>
        <v>9.0000000000000011E-3</v>
      </c>
    </row>
    <row r="621" spans="8:15" s="61" customFormat="1" ht="14.25" customHeight="1">
      <c r="H621" s="35">
        <v>617</v>
      </c>
      <c r="I621" s="36" t="s">
        <v>1347</v>
      </c>
      <c r="J621" s="37" t="s">
        <v>1344</v>
      </c>
      <c r="K621" s="37" t="s">
        <v>4</v>
      </c>
      <c r="L621" s="32">
        <v>1E-4</v>
      </c>
      <c r="M621" s="32">
        <v>2.0000000000000001E-4</v>
      </c>
      <c r="N621" s="31">
        <v>365</v>
      </c>
      <c r="O621" s="51">
        <f t="shared" si="9"/>
        <v>0.10950000000000001</v>
      </c>
    </row>
    <row r="622" spans="8:15" s="61" customFormat="1" ht="14.25" customHeight="1">
      <c r="H622" s="35">
        <v>618</v>
      </c>
      <c r="I622" s="36" t="s">
        <v>1342</v>
      </c>
      <c r="J622" s="37" t="s">
        <v>1330</v>
      </c>
      <c r="K622" s="37" t="s">
        <v>4</v>
      </c>
      <c r="L622" s="32">
        <v>1E-4</v>
      </c>
      <c r="M622" s="32">
        <v>2.9999999999999997E-4</v>
      </c>
      <c r="N622" s="31">
        <f>D29*(D33+D46)*4</f>
        <v>32000</v>
      </c>
      <c r="O622" s="51">
        <f t="shared" si="9"/>
        <v>12.799999999999999</v>
      </c>
    </row>
    <row r="623" spans="8:15" s="61" customFormat="1" ht="14.25" customHeight="1">
      <c r="H623" s="35">
        <v>619</v>
      </c>
      <c r="I623" s="36" t="s">
        <v>1343</v>
      </c>
      <c r="J623" s="37" t="s">
        <v>1331</v>
      </c>
      <c r="K623" s="37" t="s">
        <v>4</v>
      </c>
      <c r="L623" s="32">
        <v>1E-4</v>
      </c>
      <c r="M623" s="32">
        <v>2.0000000000000001E-4</v>
      </c>
      <c r="N623" s="31">
        <f>D29*N133*4</f>
        <v>32000</v>
      </c>
      <c r="O623" s="51">
        <f t="shared" si="9"/>
        <v>9.6000000000000014</v>
      </c>
    </row>
    <row r="624" spans="8:15" s="61" customFormat="1" ht="14.25" customHeight="1">
      <c r="H624" s="35">
        <v>620</v>
      </c>
      <c r="I624" s="36" t="s">
        <v>1317</v>
      </c>
      <c r="J624" s="37" t="s">
        <v>1332</v>
      </c>
      <c r="K624" s="37" t="s">
        <v>4</v>
      </c>
      <c r="L624" s="32">
        <v>1E-4</v>
      </c>
      <c r="M624" s="32">
        <v>2.0000000000000001E-4</v>
      </c>
      <c r="N624" s="31">
        <f>D29*D46*4</f>
        <v>20000</v>
      </c>
      <c r="O624" s="51">
        <f t="shared" si="9"/>
        <v>6.0000000000000009</v>
      </c>
    </row>
    <row r="625" spans="8:15" s="61" customFormat="1" ht="14.25" customHeight="1">
      <c r="H625" s="35">
        <v>621</v>
      </c>
      <c r="I625" s="36" t="s">
        <v>1318</v>
      </c>
      <c r="J625" s="37" t="s">
        <v>1333</v>
      </c>
      <c r="K625" s="37" t="s">
        <v>4</v>
      </c>
      <c r="L625" s="32">
        <v>1E-4</v>
      </c>
      <c r="M625" s="32">
        <v>2.9999999999999997E-4</v>
      </c>
      <c r="N625" s="31">
        <f>D29*D46*4</f>
        <v>20000</v>
      </c>
      <c r="O625" s="51">
        <f t="shared" si="9"/>
        <v>7.9999999999999991</v>
      </c>
    </row>
    <row r="626" spans="8:15" s="61" customFormat="1" ht="14.25" customHeight="1">
      <c r="H626" s="35">
        <v>622</v>
      </c>
      <c r="I626" s="36" t="s">
        <v>1319</v>
      </c>
      <c r="J626" s="37" t="s">
        <v>1334</v>
      </c>
      <c r="K626" s="37" t="s">
        <v>4</v>
      </c>
      <c r="L626" s="32">
        <v>1E-4</v>
      </c>
      <c r="M626" s="32">
        <v>2.0000000000000001E-4</v>
      </c>
      <c r="N626" s="31">
        <f>D29*D33*4</f>
        <v>12000</v>
      </c>
      <c r="O626" s="51">
        <f t="shared" si="9"/>
        <v>3.6000000000000005</v>
      </c>
    </row>
    <row r="627" spans="8:15" s="61" customFormat="1" ht="14.25" customHeight="1">
      <c r="H627" s="35">
        <v>623</v>
      </c>
      <c r="I627" s="36" t="s">
        <v>1320</v>
      </c>
      <c r="J627" s="37" t="s">
        <v>1335</v>
      </c>
      <c r="K627" s="37" t="s">
        <v>4</v>
      </c>
      <c r="L627" s="32">
        <v>1E-4</v>
      </c>
      <c r="M627" s="32">
        <v>2.9999999999999997E-4</v>
      </c>
      <c r="N627" s="31">
        <f>D29*D33*4</f>
        <v>12000</v>
      </c>
      <c r="O627" s="51">
        <f t="shared" si="9"/>
        <v>4.8</v>
      </c>
    </row>
    <row r="628" spans="8:15" s="61" customFormat="1" ht="14.25" customHeight="1">
      <c r="H628" s="35">
        <v>624</v>
      </c>
      <c r="I628" s="36" t="s">
        <v>1321</v>
      </c>
      <c r="J628" s="37" t="s">
        <v>1336</v>
      </c>
      <c r="K628" s="37" t="s">
        <v>4</v>
      </c>
      <c r="L628" s="32">
        <v>1E-4</v>
      </c>
      <c r="M628" s="32">
        <v>2.9999999999999997E-4</v>
      </c>
      <c r="N628" s="31">
        <f>D29*D33*4</f>
        <v>12000</v>
      </c>
      <c r="O628" s="51">
        <f t="shared" si="9"/>
        <v>4.8</v>
      </c>
    </row>
    <row r="629" spans="8:15" s="61" customFormat="1" ht="14.25" customHeight="1">
      <c r="H629" s="35">
        <v>625</v>
      </c>
      <c r="I629" s="36" t="s">
        <v>1322</v>
      </c>
      <c r="J629" s="37" t="s">
        <v>1337</v>
      </c>
      <c r="K629" s="37" t="s">
        <v>4</v>
      </c>
      <c r="L629" s="32">
        <v>1E-4</v>
      </c>
      <c r="M629" s="32">
        <v>2.0000000000000001E-4</v>
      </c>
      <c r="N629" s="31">
        <f>D29*D33*4</f>
        <v>12000</v>
      </c>
      <c r="O629" s="51">
        <f t="shared" si="9"/>
        <v>3.6000000000000005</v>
      </c>
    </row>
    <row r="630" spans="8:15" s="61" customFormat="1" ht="14.25" customHeight="1">
      <c r="H630" s="35">
        <v>626</v>
      </c>
      <c r="I630" s="36" t="s">
        <v>1323</v>
      </c>
      <c r="J630" s="37" t="s">
        <v>1341</v>
      </c>
      <c r="K630" s="37" t="s">
        <v>562</v>
      </c>
      <c r="L630" s="32">
        <v>1E-4</v>
      </c>
      <c r="M630" s="32">
        <v>2.0000000000000001E-4</v>
      </c>
      <c r="N630" s="31">
        <f>D29*D41*2*4</f>
        <v>4000</v>
      </c>
      <c r="O630" s="51">
        <f t="shared" si="9"/>
        <v>1.2000000000000002</v>
      </c>
    </row>
    <row r="631" spans="8:15" s="61" customFormat="1" ht="14.25" customHeight="1">
      <c r="H631" s="35">
        <v>627</v>
      </c>
      <c r="I631" s="36" t="s">
        <v>1324</v>
      </c>
      <c r="J631" s="37" t="s">
        <v>1338</v>
      </c>
      <c r="K631" s="37" t="s">
        <v>4</v>
      </c>
      <c r="L631" s="32">
        <v>1E-4</v>
      </c>
      <c r="M631" s="32">
        <v>2.0000000000000001E-4</v>
      </c>
      <c r="N631" s="31">
        <f>D29*D41*4</f>
        <v>2000</v>
      </c>
      <c r="O631" s="51">
        <f t="shared" si="9"/>
        <v>0.60000000000000009</v>
      </c>
    </row>
    <row r="632" spans="8:15" s="61" customFormat="1" ht="14.25" customHeight="1">
      <c r="H632" s="35">
        <v>628</v>
      </c>
      <c r="I632" s="36" t="s">
        <v>1325</v>
      </c>
      <c r="J632" s="37" t="s">
        <v>1339</v>
      </c>
      <c r="K632" s="37" t="s">
        <v>4</v>
      </c>
      <c r="L632" s="32">
        <v>1E-4</v>
      </c>
      <c r="M632" s="32">
        <v>1E-4</v>
      </c>
      <c r="N632" s="31">
        <f>N33</f>
        <v>1000</v>
      </c>
      <c r="O632" s="51">
        <f t="shared" si="9"/>
        <v>0.2</v>
      </c>
    </row>
    <row r="633" spans="8:15" s="61" customFormat="1" ht="14.25" customHeight="1">
      <c r="H633" s="85">
        <v>629</v>
      </c>
      <c r="I633" s="86" t="s">
        <v>1345</v>
      </c>
      <c r="J633" s="87" t="s">
        <v>1340</v>
      </c>
      <c r="K633" s="87" t="s">
        <v>4</v>
      </c>
      <c r="L633" s="88">
        <v>1E-4</v>
      </c>
      <c r="M633" s="88">
        <v>1E-4</v>
      </c>
      <c r="N633" s="31">
        <v>0</v>
      </c>
      <c r="O633" s="89">
        <f t="shared" si="9"/>
        <v>0</v>
      </c>
    </row>
    <row r="634" spans="8:15" s="61" customFormat="1" ht="14.25" customHeight="1">
      <c r="H634" s="85">
        <v>630</v>
      </c>
      <c r="I634" s="86" t="s">
        <v>1363</v>
      </c>
      <c r="J634" s="87" t="s">
        <v>1348</v>
      </c>
      <c r="K634" s="87" t="s">
        <v>4</v>
      </c>
      <c r="L634" s="88">
        <v>1E-4</v>
      </c>
      <c r="M634" s="88">
        <v>1E-4</v>
      </c>
      <c r="N634" s="31">
        <f>IF(D53&lt;20,D53,20)</f>
        <v>20</v>
      </c>
      <c r="O634" s="89">
        <f t="shared" si="9"/>
        <v>4.0000000000000001E-3</v>
      </c>
    </row>
    <row r="635" spans="8:15" s="61" customFormat="1" ht="14.25" customHeight="1">
      <c r="H635" s="85">
        <v>631</v>
      </c>
      <c r="I635" s="86" t="s">
        <v>1349</v>
      </c>
      <c r="J635" s="87" t="s">
        <v>1357</v>
      </c>
      <c r="K635" s="87" t="s">
        <v>4</v>
      </c>
      <c r="L635" s="88">
        <v>1E-4</v>
      </c>
      <c r="M635" s="88">
        <v>1E-4</v>
      </c>
      <c r="N635" s="31">
        <v>8</v>
      </c>
      <c r="O635" s="89">
        <f t="shared" si="9"/>
        <v>1.6000000000000001E-3</v>
      </c>
    </row>
    <row r="636" spans="8:15" s="61" customFormat="1" ht="14.25" customHeight="1">
      <c r="H636" s="85">
        <v>632</v>
      </c>
      <c r="I636" s="86" t="s">
        <v>1350</v>
      </c>
      <c r="J636" s="87" t="s">
        <v>1358</v>
      </c>
      <c r="K636" s="87" t="s">
        <v>4</v>
      </c>
      <c r="L636" s="88">
        <v>1E-4</v>
      </c>
      <c r="M636" s="88">
        <v>1E-4</v>
      </c>
      <c r="N636" s="31">
        <f>D30</f>
        <v>5</v>
      </c>
      <c r="O636" s="89">
        <f t="shared" si="9"/>
        <v>1E-3</v>
      </c>
    </row>
    <row r="637" spans="8:15" s="61" customFormat="1" ht="14.25" customHeight="1">
      <c r="H637" s="85">
        <v>633</v>
      </c>
      <c r="I637" s="86" t="s">
        <v>1351</v>
      </c>
      <c r="J637" s="87" t="s">
        <v>1360</v>
      </c>
      <c r="K637" s="87" t="s">
        <v>4</v>
      </c>
      <c r="L637" s="88">
        <v>1E-4</v>
      </c>
      <c r="M637" s="88">
        <v>1E-4</v>
      </c>
      <c r="N637" s="31">
        <f>D30*100</f>
        <v>500</v>
      </c>
      <c r="O637" s="89">
        <f t="shared" si="9"/>
        <v>0.1</v>
      </c>
    </row>
    <row r="638" spans="8:15" s="61" customFormat="1" ht="14.25" customHeight="1">
      <c r="H638" s="85">
        <v>634</v>
      </c>
      <c r="I638" s="86" t="s">
        <v>1352</v>
      </c>
      <c r="J638" s="87" t="s">
        <v>1353</v>
      </c>
      <c r="K638" s="87" t="s">
        <v>4</v>
      </c>
      <c r="L638" s="88">
        <v>1E-4</v>
      </c>
      <c r="M638" s="88">
        <v>1E-4</v>
      </c>
      <c r="N638" s="31">
        <f>D30*20</f>
        <v>100</v>
      </c>
      <c r="O638" s="89">
        <f t="shared" si="9"/>
        <v>0.02</v>
      </c>
    </row>
    <row r="639" spans="8:15" s="61" customFormat="1" ht="14.25" customHeight="1">
      <c r="H639" s="85">
        <v>635</v>
      </c>
      <c r="I639" s="86" t="s">
        <v>1354</v>
      </c>
      <c r="J639" s="87" t="s">
        <v>1355</v>
      </c>
      <c r="K639" s="87" t="s">
        <v>4</v>
      </c>
      <c r="L639" s="88">
        <v>1E-4</v>
      </c>
      <c r="M639" s="88">
        <v>1E-4</v>
      </c>
      <c r="N639" s="31">
        <f>10*12*D20</f>
        <v>1200</v>
      </c>
      <c r="O639" s="89">
        <f t="shared" si="9"/>
        <v>0.24000000000000002</v>
      </c>
    </row>
    <row r="640" spans="8:15" s="61" customFormat="1" ht="14.25" thickBot="1">
      <c r="H640" s="90"/>
      <c r="I640" s="90"/>
      <c r="J640" s="90"/>
      <c r="K640" s="91"/>
      <c r="L640" s="90"/>
      <c r="M640" s="90"/>
      <c r="N640" s="92"/>
      <c r="O640" s="93">
        <f>SUM(O4:O639)</f>
        <v>50388.514699999992</v>
      </c>
    </row>
    <row r="641" spans="1:15" ht="14.25" thickTop="1">
      <c r="A641" s="61"/>
      <c r="B641" s="61"/>
      <c r="C641" s="61"/>
      <c r="D641" s="61"/>
      <c r="E641" s="61"/>
      <c r="F641" s="61"/>
      <c r="G641" s="61"/>
      <c r="H641" s="94"/>
      <c r="I641" s="94"/>
      <c r="J641" s="94"/>
      <c r="K641" s="95"/>
      <c r="L641" s="94"/>
      <c r="M641" s="94"/>
      <c r="N641" s="96"/>
      <c r="O641" s="94"/>
    </row>
    <row r="642" spans="1:15" ht="14.25" thickBot="1">
      <c r="B642" s="61"/>
      <c r="C642" s="61"/>
      <c r="D642" s="61"/>
      <c r="E642" s="61"/>
      <c r="F642" s="61"/>
      <c r="H642" s="97">
        <v>636</v>
      </c>
      <c r="I642" s="98" t="s">
        <v>397</v>
      </c>
      <c r="J642" s="99"/>
      <c r="K642" s="100"/>
      <c r="L642" s="99"/>
      <c r="M642" s="99"/>
      <c r="N642" s="101"/>
      <c r="O642" s="99">
        <v>157</v>
      </c>
    </row>
    <row r="643" spans="1:15" ht="15" thickTop="1" thickBot="1">
      <c r="B643" s="61"/>
      <c r="C643" s="61"/>
      <c r="D643" s="61"/>
      <c r="E643" s="61"/>
      <c r="F643" s="61"/>
      <c r="H643" s="97">
        <v>637</v>
      </c>
      <c r="I643" s="98" t="s">
        <v>398</v>
      </c>
      <c r="J643" s="99"/>
      <c r="K643" s="100"/>
      <c r="L643" s="99"/>
      <c r="M643" s="99"/>
      <c r="N643" s="101"/>
      <c r="O643" s="99">
        <f>O640*D59*3</f>
        <v>0</v>
      </c>
    </row>
    <row r="644" spans="1:15" ht="14.25" thickTop="1">
      <c r="B644" s="61"/>
      <c r="C644" s="61"/>
      <c r="D644" s="61"/>
      <c r="E644" s="61"/>
      <c r="F644" s="61"/>
      <c r="H644" s="94"/>
      <c r="I644" s="94"/>
      <c r="J644" s="94"/>
      <c r="K644" s="95"/>
      <c r="L644" s="94">
        <f>5*2*6*12*10</f>
        <v>7200</v>
      </c>
      <c r="M644" s="94"/>
      <c r="N644" s="96"/>
      <c r="O644" s="94"/>
    </row>
    <row r="645" spans="1:15">
      <c r="B645" s="61"/>
      <c r="C645" s="61"/>
      <c r="D645" s="61"/>
      <c r="E645" s="61"/>
      <c r="F645" s="61"/>
    </row>
    <row r="646" spans="1:15">
      <c r="B646" s="61"/>
      <c r="C646" s="61"/>
      <c r="D646" s="61"/>
      <c r="E646" s="61"/>
      <c r="F646" s="61"/>
    </row>
    <row r="647" spans="1:15">
      <c r="B647" s="61"/>
      <c r="C647" s="61"/>
      <c r="D647" s="61"/>
      <c r="E647" s="61"/>
      <c r="F647" s="61"/>
    </row>
  </sheetData>
  <phoneticPr fontId="9"/>
  <dataValidations disablePrompts="1" count="10">
    <dataValidation type="whole" imeMode="off" allowBlank="1" showInputMessage="1" showErrorMessage="1" error="①の科目数以下にして下さい" sqref="D16" xr:uid="{00000000-0002-0000-0000-000000000000}">
      <formula1>0</formula1>
      <formula2>D8</formula2>
    </dataValidation>
    <dataValidation type="whole" imeMode="off" allowBlank="1" showInputMessage="1" showErrorMessage="1" error="プロジェクト管理しないなら&quot;0&quot;_x000a_最大＝機能４設定数" sqref="D23" xr:uid="{00000000-0002-0000-0000-000001000000}">
      <formula1>0</formula1>
      <formula2>D15</formula2>
    </dataValidation>
    <dataValidation type="whole" imeMode="off" allowBlank="1" showInputMessage="1" showErrorMessage="1" error="予実管理しないなら&quot;0&quot;_x000a_最大＝仕訳部門数" sqref="D22" xr:uid="{00000000-0002-0000-0000-000002000000}">
      <formula1>0</formula1>
      <formula2>D10</formula2>
    </dataValidation>
    <dataValidation type="whole" allowBlank="1" showInputMessage="1" showErrorMessage="1" error="1か0を入力して下さい。" sqref="D59:D60" xr:uid="{00000000-0002-0000-0000-000003000000}">
      <formula1>0</formula1>
      <formula2>1</formula2>
    </dataValidation>
    <dataValidation type="whole" imeMode="off" operator="greaterThanOrEqual" allowBlank="1" showInputMessage="1" showErrorMessage="1" sqref="D12:D15 D33:D35 D46:D50 D18 D7:D10 D41 D43" xr:uid="{00000000-0002-0000-0000-000004000000}">
      <formula1>0</formula1>
    </dataValidation>
    <dataValidation imeMode="off" operator="greaterThanOrEqual" allowBlank="1" showErrorMessage="1" sqref="D40" xr:uid="{00000000-0002-0000-0000-000005000000}"/>
    <dataValidation type="whole" imeMode="off" operator="greaterThanOrEqual" allowBlank="1" showInputMessage="1" showErrorMessage="1" sqref="D39" xr:uid="{00000000-0002-0000-0000-000006000000}">
      <formula1>1</formula1>
    </dataValidation>
    <dataValidation imeMode="off" allowBlank="1" showInputMessage="1" showErrorMessage="1" sqref="D21 D17" xr:uid="{00000000-0002-0000-0000-000007000000}"/>
    <dataValidation type="whole" imeMode="off" operator="greaterThanOrEqual" allowBlank="1" showInputMessage="1" showErrorMessage="1" error="最低１年です" sqref="D19" xr:uid="{00000000-0002-0000-0000-000008000000}">
      <formula1>1</formula1>
    </dataValidation>
    <dataValidation type="whole" imeMode="off" operator="greaterThanOrEqual" allowBlank="1" showInputMessage="1" showErrorMessage="1" error="最低３年です" sqref="D20" xr:uid="{00000000-0002-0000-0000-000009000000}">
      <formula1>3</formula1>
    </dataValidation>
  </dataValidations>
  <pageMargins left="0.7" right="0.7" top="0.75" bottom="0.75" header="0.3" footer="0.3"/>
  <pageSetup paperSize="9" orientation="portrait" r:id="rId1"/>
  <ignoredErrors>
    <ignoredError sqref="N2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53894D17DC7C47BE63F9D1750C23E3" ma:contentTypeVersion="16" ma:contentTypeDescription="新しいドキュメントを作成します。" ma:contentTypeScope="" ma:versionID="4c35edf87c02789b171ce810a721c917">
  <xsd:schema xmlns:xsd="http://www.w3.org/2001/XMLSchema" xmlns:xs="http://www.w3.org/2001/XMLSchema" xmlns:p="http://schemas.microsoft.com/office/2006/metadata/properties" xmlns:ns2="5390fd7e-3ae6-4c6f-b2b3-e212599418c7" xmlns:ns3="c77ec646-6dad-47dc-8a8f-7ccedac5bce3" targetNamespace="http://schemas.microsoft.com/office/2006/metadata/properties" ma:root="true" ma:fieldsID="41774c6db6d921d399a5151416662aa2" ns2:_="" ns3:_="">
    <xsd:import namespace="5390fd7e-3ae6-4c6f-b2b3-e212599418c7"/>
    <xsd:import namespace="c77ec646-6dad-47dc-8a8f-7ccedac5bc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0fd7e-3ae6-4c6f-b2b3-e212599418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04E044B-0321-47DF-93AC-5F65165BAE8E}" ma:internalName="TaxCatchAll" ma:showField="CatchAllData" ma:web="{e2b653b9-dda0-4875-ae0d-da43feb7684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ec646-6dad-47dc-8a8f-7ccedac5b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39cf6af-007c-4f7d-a604-462adfc62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7ec646-6dad-47dc-8a8f-7ccedac5bce3">
      <Terms xmlns="http://schemas.microsoft.com/office/infopath/2007/PartnerControls"/>
    </lcf76f155ced4ddcb4097134ff3c332f>
    <TaxCatchAll xmlns="5390fd7e-3ae6-4c6f-b2b3-e212599418c7" xsi:nil="true"/>
  </documentManagement>
</p:properties>
</file>

<file path=customXml/itemProps1.xml><?xml version="1.0" encoding="utf-8"?>
<ds:datastoreItem xmlns:ds="http://schemas.openxmlformats.org/officeDocument/2006/customXml" ds:itemID="{0275B7F6-D793-4221-8126-4CB6C7CF7FCA}"/>
</file>

<file path=customXml/itemProps2.xml><?xml version="1.0" encoding="utf-8"?>
<ds:datastoreItem xmlns:ds="http://schemas.openxmlformats.org/officeDocument/2006/customXml" ds:itemID="{B8D5EFDB-AC07-47F7-ABC8-F269741EBAB4}"/>
</file>

<file path=customXml/itemProps3.xml><?xml version="1.0" encoding="utf-8"?>
<ds:datastoreItem xmlns:ds="http://schemas.openxmlformats.org/officeDocument/2006/customXml" ds:itemID="{CF627FB9-CC24-41C7-A85E-81144FA21C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NX統合会計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2013-08-02T05:53:12Z</dcterms:created>
  <dcterms:modified xsi:type="dcterms:W3CDTF">2026-05-15T09:10:41Z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0x0101000B53894D17DC7C47BE63F9D1750C23E3</vt:lpwstr>
  </property>
</Properties>
</file>