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97099306-0831-4DB6-8949-B259D718DA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X固定資産管理" sheetId="2" r:id="rId1"/>
  </sheets>
  <externalReferences>
    <externalReference r:id="rId2"/>
  </externalReferences>
  <definedNames>
    <definedName name="アーカイブ利用有無">#REF!</definedName>
    <definedName name="単位">[1]Sheet3!$B$3:$B$4</definedName>
    <definedName name="入力値単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2" l="1"/>
  <c r="N23" i="2"/>
  <c r="N100" i="2"/>
  <c r="N99" i="2"/>
  <c r="N98" i="2"/>
  <c r="N88" i="2"/>
  <c r="N87" i="2"/>
  <c r="N39" i="2"/>
  <c r="N40" i="2"/>
  <c r="N38" i="2"/>
  <c r="O24" i="2"/>
  <c r="N104" i="2" l="1"/>
  <c r="N105" i="2"/>
  <c r="N113" i="2"/>
  <c r="N148" i="2" s="1"/>
  <c r="O148" i="2" s="1"/>
  <c r="N108" i="2"/>
  <c r="N149" i="2" s="1"/>
  <c r="O149" i="2" s="1"/>
  <c r="N128" i="2"/>
  <c r="N129" i="2"/>
  <c r="N131" i="2" s="1"/>
  <c r="N132" i="2"/>
  <c r="N133" i="2"/>
  <c r="N137" i="2"/>
  <c r="N140" i="2"/>
  <c r="N141" i="2"/>
  <c r="N142" i="2"/>
  <c r="N143" i="2" s="1"/>
  <c r="N144" i="2" s="1"/>
  <c r="N109" i="2"/>
  <c r="N110" i="2"/>
  <c r="N111" i="2"/>
  <c r="N112" i="2"/>
  <c r="N145" i="2" s="1"/>
  <c r="O145" i="2" s="1"/>
  <c r="N107" i="2"/>
  <c r="N147" i="2" s="1"/>
  <c r="O147" i="2" s="1"/>
  <c r="O142" i="2"/>
  <c r="O140" i="2"/>
  <c r="O137" i="2"/>
  <c r="O132" i="2"/>
  <c r="O131" i="2"/>
  <c r="O129" i="2"/>
  <c r="O128" i="2"/>
  <c r="O138" i="2" l="1"/>
  <c r="N138" i="2"/>
  <c r="N139" i="2"/>
  <c r="O139" i="2" s="1"/>
  <c r="N130" i="2"/>
  <c r="O130" i="2" s="1"/>
  <c r="N126" i="2"/>
  <c r="N146" i="2"/>
  <c r="O146" i="2" s="1"/>
  <c r="N127" i="2"/>
  <c r="N150" i="2" s="1"/>
  <c r="O150" i="2" s="1"/>
  <c r="O141" i="2"/>
  <c r="O133" i="2"/>
  <c r="O144" i="2"/>
  <c r="O143" i="2"/>
  <c r="N122" i="2"/>
  <c r="N67" i="2"/>
  <c r="N124" i="2" s="1"/>
  <c r="O124" i="2" s="1"/>
  <c r="N63" i="2"/>
  <c r="N62" i="2"/>
  <c r="N54" i="2"/>
  <c r="N123" i="2" s="1"/>
  <c r="O123" i="2" s="1"/>
  <c r="N18" i="2"/>
  <c r="N19" i="2" s="1"/>
  <c r="N8" i="2"/>
  <c r="N106" i="2"/>
  <c r="N103" i="2"/>
  <c r="N97" i="2"/>
  <c r="N83" i="2"/>
  <c r="N81" i="2"/>
  <c r="N73" i="2"/>
  <c r="N72" i="2"/>
  <c r="N71" i="2"/>
  <c r="N70" i="2"/>
  <c r="N50" i="2"/>
  <c r="N48" i="2"/>
  <c r="N47" i="2"/>
  <c r="N46" i="2"/>
  <c r="N45" i="2"/>
  <c r="N35" i="2"/>
  <c r="N34" i="2"/>
  <c r="N41" i="2" s="1"/>
  <c r="N29" i="2"/>
  <c r="N30" i="2" s="1"/>
  <c r="N28" i="2"/>
  <c r="O127" i="2" l="1"/>
  <c r="N96" i="2"/>
  <c r="N65" i="2"/>
  <c r="N66" i="2" s="1"/>
  <c r="N60" i="2"/>
  <c r="O122" i="2"/>
  <c r="N64" i="2"/>
  <c r="N91" i="2"/>
  <c r="O126" i="2"/>
  <c r="N118" i="2"/>
  <c r="N120" i="2"/>
  <c r="O114" i="2"/>
  <c r="N93" i="2" l="1"/>
  <c r="N94" i="2" s="1"/>
  <c r="N134" i="2"/>
  <c r="N101" i="2"/>
  <c r="N125" i="2"/>
  <c r="O125" i="2" s="1"/>
  <c r="N92" i="2"/>
  <c r="N85" i="2"/>
  <c r="N86" i="2"/>
  <c r="O120" i="2"/>
  <c r="O119" i="2"/>
  <c r="O118" i="2"/>
  <c r="O117" i="2"/>
  <c r="O116" i="2"/>
  <c r="O115" i="2"/>
  <c r="N135" i="2" l="1"/>
  <c r="O135" i="2" s="1"/>
  <c r="O134" i="2"/>
  <c r="O113" i="2"/>
  <c r="N61" i="2" l="1"/>
  <c r="N49" i="2" l="1"/>
  <c r="N136" i="2" s="1"/>
  <c r="O136" i="2" s="1"/>
  <c r="N89" i="2" l="1"/>
  <c r="N53" i="2"/>
  <c r="N51" i="2"/>
  <c r="O23" i="2" s="1"/>
  <c r="O104" i="2"/>
  <c r="N90" i="2" l="1"/>
  <c r="N52" i="2"/>
  <c r="O25" i="2" s="1"/>
  <c r="O112" i="2" l="1"/>
  <c r="O111" i="2"/>
  <c r="O110" i="2"/>
  <c r="O109" i="2"/>
  <c r="O108" i="2"/>
  <c r="O107" i="2"/>
  <c r="O105" i="2"/>
  <c r="O106" i="2"/>
  <c r="O103" i="2"/>
  <c r="O46" i="2" l="1"/>
  <c r="O43" i="2"/>
  <c r="O101" i="2" l="1"/>
  <c r="O84" i="2"/>
  <c r="O83" i="2"/>
  <c r="N82" i="2"/>
  <c r="O82" i="2" s="1"/>
  <c r="O81" i="2"/>
  <c r="O80" i="2"/>
  <c r="N79" i="2"/>
  <c r="O78" i="2"/>
  <c r="O77" i="2"/>
  <c r="O76" i="2"/>
  <c r="O75" i="2"/>
  <c r="O73" i="2"/>
  <c r="O72" i="2"/>
  <c r="O71" i="2"/>
  <c r="O70" i="2"/>
  <c r="O69" i="2"/>
  <c r="O68" i="2"/>
  <c r="O59" i="2"/>
  <c r="O58" i="2"/>
  <c r="O56" i="2"/>
  <c r="N55" i="2"/>
  <c r="O53" i="2"/>
  <c r="O50" i="2"/>
  <c r="O89" i="2"/>
  <c r="O47" i="2"/>
  <c r="O45" i="2"/>
  <c r="O44" i="2"/>
  <c r="O42" i="2"/>
  <c r="O41" i="2"/>
  <c r="O37" i="2"/>
  <c r="O36" i="2"/>
  <c r="O39" i="2"/>
  <c r="O33" i="2"/>
  <c r="O32" i="2"/>
  <c r="O31" i="2"/>
  <c r="O30" i="2"/>
  <c r="O28" i="2"/>
  <c r="O27" i="2"/>
  <c r="O26" i="2"/>
  <c r="N22" i="2"/>
  <c r="O22" i="2" s="1"/>
  <c r="O21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D5" i="2"/>
  <c r="O4" i="2"/>
  <c r="O79" i="2" l="1"/>
  <c r="N74" i="2"/>
  <c r="O74" i="2" s="1"/>
  <c r="N57" i="2"/>
  <c r="O57" i="2" s="1"/>
  <c r="O48" i="2"/>
  <c r="N121" i="2"/>
  <c r="O121" i="2" s="1"/>
  <c r="O34" i="2"/>
  <c r="O96" i="2"/>
  <c r="O94" i="2"/>
  <c r="O97" i="2"/>
  <c r="N95" i="2"/>
  <c r="O95" i="2" s="1"/>
  <c r="O35" i="2"/>
  <c r="O55" i="2"/>
  <c r="O52" i="2"/>
  <c r="O49" i="2"/>
  <c r="O29" i="2"/>
  <c r="O38" i="2"/>
  <c r="O40" i="2"/>
  <c r="O54" i="2"/>
  <c r="O98" i="2"/>
  <c r="O100" i="2"/>
  <c r="O90" i="2"/>
  <c r="O67" i="2"/>
  <c r="O99" i="2"/>
  <c r="O93" i="2" l="1"/>
  <c r="N102" i="2"/>
  <c r="O102" i="2" s="1"/>
  <c r="O66" i="2"/>
  <c r="O91" i="2"/>
  <c r="O92" i="2"/>
  <c r="O51" i="2"/>
  <c r="O87" i="2"/>
  <c r="O88" i="2"/>
  <c r="O85" i="2"/>
  <c r="O61" i="2"/>
  <c r="O60" i="2"/>
  <c r="O86" i="2"/>
  <c r="O62" i="2"/>
  <c r="O19" i="2"/>
  <c r="N20" i="2"/>
  <c r="O20" i="2" s="1"/>
  <c r="O65" i="2"/>
  <c r="O64" i="2"/>
  <c r="O63" i="2"/>
  <c r="O151" i="2" l="1"/>
  <c r="O154" i="2" l="1"/>
  <c r="D4" i="2" s="1"/>
</calcChain>
</file>

<file path=xl/sharedStrings.xml><?xml version="1.0" encoding="utf-8"?>
<sst xmlns="http://schemas.openxmlformats.org/spreadsheetml/2006/main" count="511" uniqueCount="366">
  <si>
    <t>No.</t>
  </si>
  <si>
    <t>テーブル名</t>
  </si>
  <si>
    <t>スキーマ</t>
  </si>
  <si>
    <t>SSAC</t>
  </si>
  <si>
    <t>予測行数</t>
    <rPh sb="0" eb="2">
      <t>ヨソク</t>
    </rPh>
    <rPh sb="2" eb="4">
      <t>ギョウスウ</t>
    </rPh>
    <phoneticPr fontId="1"/>
  </si>
  <si>
    <t>必要なサイズ</t>
    <rPh sb="0" eb="2">
      <t>ヒツヨウ</t>
    </rPh>
    <phoneticPr fontId="1"/>
  </si>
  <si>
    <t>必要ディスク容量</t>
  </si>
  <si>
    <t>GB</t>
  </si>
  <si>
    <t>＜業務分析＞</t>
  </si>
  <si>
    <t xml:space="preserve">  計算して合計して下さい。</t>
    <rPh sb="2" eb="4">
      <t>ケイサン</t>
    </rPh>
    <rPh sb="6" eb="8">
      <t>ゴウケイ</t>
    </rPh>
    <rPh sb="10" eb="11">
      <t>クダ</t>
    </rPh>
    <phoneticPr fontId="9"/>
  </si>
  <si>
    <t>平均行サイズ
(インデックス領域)</t>
    <rPh sb="0" eb="2">
      <t>ヘイキン</t>
    </rPh>
    <rPh sb="2" eb="3">
      <t>ギョウ</t>
    </rPh>
    <rPh sb="14" eb="16">
      <t>リョウイキ</t>
    </rPh>
    <phoneticPr fontId="1"/>
  </si>
  <si>
    <t>平均行サイズ
(データ領域)</t>
    <rPh sb="0" eb="2">
      <t>ヘイキン</t>
    </rPh>
    <rPh sb="2" eb="3">
      <t>ギョウ</t>
    </rPh>
    <rPh sb="11" eb="13">
      <t>リョウイキ</t>
    </rPh>
    <phoneticPr fontId="1"/>
  </si>
  <si>
    <t>システムデータ領域</t>
    <rPh sb="7" eb="9">
      <t>リョウイキ</t>
    </rPh>
    <phoneticPr fontId="1"/>
  </si>
  <si>
    <t>＜データログ＞</t>
    <phoneticPr fontId="1"/>
  </si>
  <si>
    <t>採取する場合：1　／　採取しない場合：0</t>
    <rPh sb="0" eb="2">
      <t>サイシュ</t>
    </rPh>
    <rPh sb="4" eb="6">
      <t>バアイ</t>
    </rPh>
    <rPh sb="11" eb="13">
      <t>サイシュ</t>
    </rPh>
    <rPh sb="16" eb="18">
      <t>バアイ</t>
    </rPh>
    <phoneticPr fontId="1"/>
  </si>
  <si>
    <t>※会社１社分の計算です。複数社ある場合には、別々に</t>
    <rPh sb="1" eb="3">
      <t>カイシャ</t>
    </rPh>
    <rPh sb="4" eb="5">
      <t>シャ</t>
    </rPh>
    <rPh sb="5" eb="6">
      <t>ブン</t>
    </rPh>
    <rPh sb="7" eb="9">
      <t>ケイサン</t>
    </rPh>
    <rPh sb="22" eb="24">
      <t>ベツベツ</t>
    </rPh>
    <phoneticPr fontId="9"/>
  </si>
  <si>
    <t>(MB)</t>
    <phoneticPr fontId="1"/>
  </si>
  <si>
    <t>ＦＡコード定義マスタ</t>
  </si>
  <si>
    <t>FACDTMST</t>
  </si>
  <si>
    <t>ＦＡコード定義名称マスタ</t>
  </si>
  <si>
    <t>FACTNMST</t>
  </si>
  <si>
    <t>ＦＡコード利用定義マスタ</t>
  </si>
  <si>
    <t>FACDRMST</t>
  </si>
  <si>
    <t xml:space="preserve">  ＜固定資産管理＞</t>
    <rPh sb="3" eb="5">
      <t>コテイ</t>
    </rPh>
    <rPh sb="5" eb="7">
      <t>シサン</t>
    </rPh>
    <phoneticPr fontId="1"/>
  </si>
  <si>
    <t>ＦＡコード利用定義名称マスタ</t>
  </si>
  <si>
    <t>FACRNMST</t>
  </si>
  <si>
    <t>導入時資産件数</t>
    <rPh sb="0" eb="2">
      <t>ドウニュウ</t>
    </rPh>
    <rPh sb="2" eb="3">
      <t>ジ</t>
    </rPh>
    <rPh sb="3" eb="5">
      <t>シサン</t>
    </rPh>
    <rPh sb="5" eb="7">
      <t>ケンスウ</t>
    </rPh>
    <phoneticPr fontId="9"/>
  </si>
  <si>
    <t>ＦＡトランザクション番号採番マスタ</t>
  </si>
  <si>
    <t>FATRSMST</t>
  </si>
  <si>
    <t>年間平均資産増加数</t>
    <rPh sb="0" eb="2">
      <t>ネンカン</t>
    </rPh>
    <rPh sb="2" eb="4">
      <t>ヘイキン</t>
    </rPh>
    <rPh sb="4" eb="6">
      <t>シサン</t>
    </rPh>
    <rPh sb="6" eb="9">
      <t>ゾウカスウ</t>
    </rPh>
    <phoneticPr fontId="9"/>
  </si>
  <si>
    <t>ＦＡメニューロールマスタ</t>
  </si>
  <si>
    <t>FAMRLMST</t>
  </si>
  <si>
    <t>年間平均異動資産数（増加は含まない）</t>
    <rPh sb="0" eb="2">
      <t>ネンカン</t>
    </rPh>
    <rPh sb="2" eb="4">
      <t>ヘイキン</t>
    </rPh>
    <rPh sb="4" eb="6">
      <t>イドウ</t>
    </rPh>
    <rPh sb="6" eb="8">
      <t>シサン</t>
    </rPh>
    <rPh sb="8" eb="9">
      <t>スウ</t>
    </rPh>
    <phoneticPr fontId="9"/>
  </si>
  <si>
    <t>ＦＡロールマスタ</t>
  </si>
  <si>
    <t>FAROLMST</t>
  </si>
  <si>
    <t>使用台帳</t>
    <rPh sb="0" eb="2">
      <t>シヨウ</t>
    </rPh>
    <rPh sb="2" eb="4">
      <t>ダイチョウ</t>
    </rPh>
    <phoneticPr fontId="9"/>
  </si>
  <si>
    <t>ＦＡ会計部門マスタ</t>
  </si>
  <si>
    <t>FABUMMST</t>
  </si>
  <si>
    <t>配賦資産数</t>
    <rPh sb="0" eb="2">
      <t>ハイフ</t>
    </rPh>
    <rPh sb="2" eb="4">
      <t>シサン</t>
    </rPh>
    <rPh sb="4" eb="5">
      <t>スウ</t>
    </rPh>
    <phoneticPr fontId="9"/>
  </si>
  <si>
    <t>ＦＡ会社方針マスタ</t>
  </si>
  <si>
    <t>FAKAIMST</t>
  </si>
  <si>
    <t>平均配賦先部門</t>
    <rPh sb="0" eb="2">
      <t>ヘイキン</t>
    </rPh>
    <rPh sb="2" eb="4">
      <t>ハイフ</t>
    </rPh>
    <rPh sb="4" eb="5">
      <t>サキ</t>
    </rPh>
    <rPh sb="5" eb="7">
      <t>ブモン</t>
    </rPh>
    <phoneticPr fontId="9"/>
  </si>
  <si>
    <t>ＦＡ資産番号物件番号採番マスタ</t>
  </si>
  <si>
    <t>FASBNMST</t>
  </si>
  <si>
    <t>予測シュミレーション数</t>
    <rPh sb="0" eb="2">
      <t>ヨソク</t>
    </rPh>
    <rPh sb="10" eb="11">
      <t>スウ</t>
    </rPh>
    <phoneticPr fontId="9"/>
  </si>
  <si>
    <t>ＦＡ取引先マスタ</t>
  </si>
  <si>
    <t>FATRHMST</t>
  </si>
  <si>
    <t>除去債務資産数</t>
    <rPh sb="0" eb="2">
      <t>ジョキョ</t>
    </rPh>
    <rPh sb="2" eb="4">
      <t>サイム</t>
    </rPh>
    <rPh sb="4" eb="6">
      <t>シサン</t>
    </rPh>
    <rPh sb="6" eb="7">
      <t>スウ</t>
    </rPh>
    <phoneticPr fontId="9"/>
  </si>
  <si>
    <t>ＦＡ消費税率マスタ</t>
  </si>
  <si>
    <t>FASHZMST</t>
  </si>
  <si>
    <t>平均除去債務見積期間（年数）</t>
    <rPh sb="0" eb="2">
      <t>ヘイキン</t>
    </rPh>
    <rPh sb="2" eb="4">
      <t>ジョキョ</t>
    </rPh>
    <rPh sb="4" eb="6">
      <t>サイム</t>
    </rPh>
    <rPh sb="6" eb="8">
      <t>ミツモリ</t>
    </rPh>
    <rPh sb="8" eb="10">
      <t>キカン</t>
    </rPh>
    <rPh sb="11" eb="13">
      <t>ネンスウ</t>
    </rPh>
    <phoneticPr fontId="9"/>
  </si>
  <si>
    <t>ＦＡ台帳別会社方針マスタ</t>
  </si>
  <si>
    <t>FADKAMST</t>
  </si>
  <si>
    <t>NXFA使用期間（年数）</t>
    <rPh sb="4" eb="6">
      <t>シヨウ</t>
    </rPh>
    <rPh sb="6" eb="8">
      <t>キカン</t>
    </rPh>
    <rPh sb="9" eb="11">
      <t>ネンスウ</t>
    </rPh>
    <phoneticPr fontId="9"/>
  </si>
  <si>
    <t>ＦＡ役割マスタ</t>
  </si>
  <si>
    <t>FAYAKMST</t>
  </si>
  <si>
    <t>過年度登録資産数</t>
    <rPh sb="0" eb="3">
      <t>カネンド</t>
    </rPh>
    <rPh sb="3" eb="5">
      <t>トウロク</t>
    </rPh>
    <rPh sb="5" eb="7">
      <t>シサン</t>
    </rPh>
    <rPh sb="7" eb="8">
      <t>スウ</t>
    </rPh>
    <phoneticPr fontId="9"/>
  </si>
  <si>
    <t>インターフェイス用債務伝票ヘッダ</t>
  </si>
  <si>
    <t>FASMHTRN</t>
    <phoneticPr fontId="9"/>
  </si>
  <si>
    <t>平均過年度登録期間（年数）</t>
    <rPh sb="0" eb="2">
      <t>ヘイキン</t>
    </rPh>
    <rPh sb="2" eb="5">
      <t>カネンド</t>
    </rPh>
    <rPh sb="5" eb="7">
      <t>トウロク</t>
    </rPh>
    <rPh sb="7" eb="9">
      <t>キカン</t>
    </rPh>
    <rPh sb="10" eb="12">
      <t>ネンスウ</t>
    </rPh>
    <phoneticPr fontId="9"/>
  </si>
  <si>
    <t>インターフェイス用債務伝票支払明細</t>
  </si>
  <si>
    <t>FASMSTRN</t>
  </si>
  <si>
    <t>導入時資産履歴登録件数</t>
    <rPh sb="0" eb="2">
      <t>ドウニュウ</t>
    </rPh>
    <rPh sb="2" eb="3">
      <t>ジ</t>
    </rPh>
    <rPh sb="3" eb="5">
      <t>シサン</t>
    </rPh>
    <rPh sb="5" eb="7">
      <t>リレキ</t>
    </rPh>
    <rPh sb="7" eb="9">
      <t>トウロク</t>
    </rPh>
    <rPh sb="9" eb="11">
      <t>ケンスウ</t>
    </rPh>
    <phoneticPr fontId="9"/>
  </si>
  <si>
    <t>インターフェイス用債務伝票明細</t>
  </si>
  <si>
    <t>FASMMTRN</t>
  </si>
  <si>
    <t>月間固定資産仕訳伝票数(売買リース含む)</t>
    <rPh sb="0" eb="1">
      <t>ヅキ</t>
    </rPh>
    <rPh sb="1" eb="2">
      <t>アイダ</t>
    </rPh>
    <rPh sb="2" eb="4">
      <t>コテイ</t>
    </rPh>
    <rPh sb="4" eb="6">
      <t>シサン</t>
    </rPh>
    <rPh sb="6" eb="8">
      <t>シワケ</t>
    </rPh>
    <rPh sb="8" eb="10">
      <t>デンピョウ</t>
    </rPh>
    <rPh sb="10" eb="11">
      <t>スウ</t>
    </rPh>
    <rPh sb="12" eb="14">
      <t>バイバイ</t>
    </rPh>
    <rPh sb="17" eb="18">
      <t>フク</t>
    </rPh>
    <phoneticPr fontId="9"/>
  </si>
  <si>
    <t>インターフェイス用仕訳伝票ヘッダ</t>
  </si>
  <si>
    <t>FASWHTRN</t>
  </si>
  <si>
    <t>仕訳作成台帳</t>
    <rPh sb="0" eb="2">
      <t>シワケ</t>
    </rPh>
    <rPh sb="2" eb="4">
      <t>サクセイ</t>
    </rPh>
    <rPh sb="4" eb="6">
      <t>ダイチョウ</t>
    </rPh>
    <phoneticPr fontId="9"/>
  </si>
  <si>
    <t>インターフェイス用仕訳伝票明細</t>
  </si>
  <si>
    <t>FASWMTRN</t>
  </si>
  <si>
    <t>管理項目対象資産数</t>
    <rPh sb="0" eb="2">
      <t>カンリ</t>
    </rPh>
    <rPh sb="2" eb="4">
      <t>コウモク</t>
    </rPh>
    <rPh sb="4" eb="6">
      <t>タイショウ</t>
    </rPh>
    <rPh sb="6" eb="8">
      <t>シサン</t>
    </rPh>
    <rPh sb="8" eb="9">
      <t>スウ</t>
    </rPh>
    <phoneticPr fontId="9"/>
  </si>
  <si>
    <t>リース仕訳パターンマスタ</t>
  </si>
  <si>
    <t>FALSPMST</t>
  </si>
  <si>
    <t>リース仕訳パターン名称マスタ</t>
  </si>
  <si>
    <t>FALSNMST</t>
  </si>
  <si>
    <t xml:space="preserve">  ＜リース資産管理＞</t>
    <rPh sb="6" eb="8">
      <t>シサン</t>
    </rPh>
    <phoneticPr fontId="1"/>
  </si>
  <si>
    <t>ワークフローデータ検索用固定資産情報ワーク</t>
  </si>
  <si>
    <t>FAWFSWRK</t>
  </si>
  <si>
    <t>導入時契約件数（再リース含む）</t>
    <rPh sb="0" eb="2">
      <t>ドウニュウ</t>
    </rPh>
    <rPh sb="2" eb="3">
      <t>ジ</t>
    </rPh>
    <rPh sb="3" eb="5">
      <t>ケイヤク</t>
    </rPh>
    <rPh sb="5" eb="7">
      <t>ケンスウ</t>
    </rPh>
    <rPh sb="8" eb="9">
      <t>サイ</t>
    </rPh>
    <rPh sb="12" eb="13">
      <t>フク</t>
    </rPh>
    <phoneticPr fontId="9"/>
  </si>
  <si>
    <t>過年度遡及年月別資産マスタ</t>
  </si>
  <si>
    <t>FAKSNMST</t>
  </si>
  <si>
    <t>1契約平均物件数</t>
    <rPh sb="1" eb="3">
      <t>ケイヤク</t>
    </rPh>
    <rPh sb="3" eb="5">
      <t>ヘイキン</t>
    </rPh>
    <rPh sb="5" eb="7">
      <t>ブッケン</t>
    </rPh>
    <rPh sb="7" eb="8">
      <t>スウ</t>
    </rPh>
    <phoneticPr fontId="9"/>
  </si>
  <si>
    <t>過年度遡及年月別資産台帳マスタ</t>
  </si>
  <si>
    <t>FAKSDMST</t>
  </si>
  <si>
    <t>年間平均契約増加数</t>
    <rPh sb="0" eb="2">
      <t>ネンカン</t>
    </rPh>
    <rPh sb="2" eb="4">
      <t>ヘイキン</t>
    </rPh>
    <rPh sb="4" eb="6">
      <t>ケイヤク</t>
    </rPh>
    <rPh sb="6" eb="9">
      <t>ゾウカスウ</t>
    </rPh>
    <phoneticPr fontId="9"/>
  </si>
  <si>
    <t>割引計算利子率マスタ</t>
  </si>
  <si>
    <t>FAWKRMST</t>
  </si>
  <si>
    <t>年間平均異動物件数（増加は含まない）</t>
    <rPh sb="0" eb="2">
      <t>ネンカン</t>
    </rPh>
    <rPh sb="2" eb="4">
      <t>ヘイキン</t>
    </rPh>
    <rPh sb="4" eb="6">
      <t>イドウ</t>
    </rPh>
    <rPh sb="6" eb="8">
      <t>ブッケン</t>
    </rPh>
    <rPh sb="8" eb="9">
      <t>スウ</t>
    </rPh>
    <rPh sb="10" eb="12">
      <t>ゾウカ</t>
    </rPh>
    <rPh sb="13" eb="14">
      <t>フク</t>
    </rPh>
    <phoneticPr fontId="9"/>
  </si>
  <si>
    <t>管理単位マスタ</t>
  </si>
  <si>
    <t>FAKNRMST</t>
  </si>
  <si>
    <t>平均支払月数</t>
    <rPh sb="0" eb="2">
      <t>ヘイキン</t>
    </rPh>
    <rPh sb="2" eb="4">
      <t>シハライ</t>
    </rPh>
    <rPh sb="4" eb="6">
      <t>ツキスウ</t>
    </rPh>
    <phoneticPr fontId="9"/>
  </si>
  <si>
    <t>管理単位名称マスタ</t>
  </si>
  <si>
    <t>FAKRNMST</t>
  </si>
  <si>
    <t>管理項目対象物件数</t>
    <rPh sb="0" eb="2">
      <t>カンリ</t>
    </rPh>
    <rPh sb="2" eb="4">
      <t>コウモク</t>
    </rPh>
    <rPh sb="4" eb="6">
      <t>タイショウ</t>
    </rPh>
    <rPh sb="6" eb="8">
      <t>ブッケン</t>
    </rPh>
    <rPh sb="8" eb="9">
      <t>スウ</t>
    </rPh>
    <phoneticPr fontId="9"/>
  </si>
  <si>
    <t>契約トラン</t>
  </si>
  <si>
    <t>FAKYKTRN</t>
  </si>
  <si>
    <t>契約ワーク</t>
  </si>
  <si>
    <t>FAKYKWRK</t>
  </si>
  <si>
    <t>契約形態マスタ</t>
  </si>
  <si>
    <t>FAKEIMST</t>
  </si>
  <si>
    <t xml:space="preserve">  ＜共通＞</t>
    <rPh sb="3" eb="5">
      <t>キョウツウ</t>
    </rPh>
    <phoneticPr fontId="1"/>
  </si>
  <si>
    <t>契約形態名称マスタ</t>
  </si>
  <si>
    <t>FAKENMST</t>
  </si>
  <si>
    <t>ワークフロー使用有無(0:未使用 1:使用)</t>
    <rPh sb="6" eb="8">
      <t>シヨウ</t>
    </rPh>
    <rPh sb="8" eb="10">
      <t>ウム</t>
    </rPh>
    <rPh sb="13" eb="16">
      <t>ミシヨウ</t>
    </rPh>
    <rPh sb="19" eb="21">
      <t>シヨウ</t>
    </rPh>
    <phoneticPr fontId="9"/>
  </si>
  <si>
    <t>契約台帳トラン</t>
  </si>
  <si>
    <t>FAKYDTRN</t>
  </si>
  <si>
    <t>契約台帳ワーク</t>
  </si>
  <si>
    <t>FAKYDWRK</t>
  </si>
  <si>
    <t>契約台帳履歴トラン</t>
  </si>
  <si>
    <t>FAKYDREK</t>
  </si>
  <si>
    <t>契約履歴トラン</t>
  </si>
  <si>
    <t>FAKYKREK</t>
  </si>
  <si>
    <t>減価残存率マスタ</t>
  </si>
  <si>
    <t>FAGZRMST</t>
  </si>
  <si>
    <t>固定資産配賦パターンマスタ</t>
  </si>
  <si>
    <t>FAHFPMST</t>
  </si>
  <si>
    <t>固定資産配賦パターン名称マスタ</t>
  </si>
  <si>
    <t>FAHFNMST</t>
  </si>
  <si>
    <t>固定資産配賦結果テーブル</t>
  </si>
  <si>
    <t>FAHFKMST</t>
  </si>
  <si>
    <t>固定資産配賦率マスタ</t>
  </si>
  <si>
    <t>FAHFRMST</t>
  </si>
  <si>
    <t>仕訳伝票発生源テーブル</t>
  </si>
  <si>
    <t>FASHGMST</t>
  </si>
  <si>
    <t>支払トラン</t>
  </si>
  <si>
    <t>FASHRTRN</t>
  </si>
  <si>
    <t>支払ワーク</t>
  </si>
  <si>
    <t>FASHRWRK</t>
  </si>
  <si>
    <t>支払回次トラン</t>
  </si>
  <si>
    <t>FASHKTRN</t>
  </si>
  <si>
    <t>支払回次履歴トラン</t>
  </si>
  <si>
    <t>FASHKREK</t>
  </si>
  <si>
    <t>支払履歴トラン</t>
  </si>
  <si>
    <t>FASHRREK</t>
  </si>
  <si>
    <t>資産マスタ</t>
  </si>
  <si>
    <t>FASSNMST</t>
  </si>
  <si>
    <t>資産管理項目マスタ</t>
  </si>
  <si>
    <t>FAKITMST</t>
  </si>
  <si>
    <t>資産管理項目名称マスタ</t>
  </si>
  <si>
    <t>FAKINMST</t>
  </si>
  <si>
    <t>資産管理情報履歴マスタ</t>
  </si>
  <si>
    <t>FAKNRREK</t>
  </si>
  <si>
    <t>資産管理定義マスタ</t>
  </si>
  <si>
    <t>FASKRMST</t>
  </si>
  <si>
    <t>資産管理定義名称マスタ</t>
  </si>
  <si>
    <t>FASKNMST</t>
  </si>
  <si>
    <t>資産台帳マスタ</t>
  </si>
  <si>
    <t>FASNDMST</t>
  </si>
  <si>
    <t>資産台帳退避ワーク</t>
  </si>
  <si>
    <t>FASSNBAK</t>
  </si>
  <si>
    <t>資産台帳履歴マスタ</t>
  </si>
  <si>
    <t>FASNDREK</t>
  </si>
  <si>
    <t>資産入力ワーク</t>
  </si>
  <si>
    <t>FASSNWRK</t>
  </si>
  <si>
    <t>資産入力台帳ワーク</t>
  </si>
  <si>
    <t>FASNDWRK</t>
  </si>
  <si>
    <t>資産予測テーブル</t>
  </si>
  <si>
    <t>FASYKMST</t>
  </si>
  <si>
    <t>資産予測台帳テーブル</t>
  </si>
  <si>
    <t>FASYDMST</t>
  </si>
  <si>
    <t>資産履歴マスタ</t>
  </si>
  <si>
    <t>FASSNREK</t>
  </si>
  <si>
    <t>取得形態マスタ</t>
  </si>
  <si>
    <t>FASTKMST</t>
  </si>
  <si>
    <t>取得形態名称マスタ</t>
  </si>
  <si>
    <t>FASTNMST</t>
  </si>
  <si>
    <t>除去債務異動前月別利息テーブル</t>
  </si>
  <si>
    <t>FAJIRMST</t>
  </si>
  <si>
    <t>※NX統合会計計算シートと合わせて利用してください。</t>
    <rPh sb="3" eb="5">
      <t>トウゴウ</t>
    </rPh>
    <rPh sb="5" eb="7">
      <t>カイケイ</t>
    </rPh>
    <rPh sb="7" eb="9">
      <t>ケイサン</t>
    </rPh>
    <rPh sb="13" eb="14">
      <t>ア</t>
    </rPh>
    <rPh sb="17" eb="19">
      <t>リヨウ</t>
    </rPh>
    <phoneticPr fontId="9"/>
  </si>
  <si>
    <t>除去債務月別利息テーブル</t>
  </si>
  <si>
    <t>FAJTRMST</t>
  </si>
  <si>
    <t>除去債務処分用月別利息テーブル</t>
  </si>
  <si>
    <t>FAJSRMST</t>
  </si>
  <si>
    <t>除去債務予測用月別利息テーブル</t>
  </si>
  <si>
    <t>FAJYRMST</t>
  </si>
  <si>
    <t>償却資産税残高マスタ</t>
  </si>
  <si>
    <t>FASKZMST</t>
  </si>
  <si>
    <t>償却情報マスタ</t>
  </si>
  <si>
    <t>FASJHMST</t>
  </si>
  <si>
    <t>償却不足調整テーブル</t>
  </si>
  <si>
    <t>FASHCMST</t>
  </si>
  <si>
    <t>償却率マスタ</t>
  </si>
  <si>
    <t>FARTSMST</t>
  </si>
  <si>
    <t>少額資産上限額マスタ</t>
  </si>
  <si>
    <t>FAJGNMST</t>
  </si>
  <si>
    <t>申告先マスタ</t>
  </si>
  <si>
    <t>FASKSMST</t>
  </si>
  <si>
    <t>台帳タイトルマスタ</t>
  </si>
  <si>
    <t>FADTLMST</t>
  </si>
  <si>
    <t>台帳別リース仕訳パターンマスタ</t>
  </si>
  <si>
    <t>FADLSMST</t>
  </si>
  <si>
    <t>台帳別取得形態マスタ</t>
  </si>
  <si>
    <t>FADSKMST</t>
  </si>
  <si>
    <t>台帳別償却情報マスタ</t>
  </si>
  <si>
    <t>FADSJMST</t>
  </si>
  <si>
    <t>賃貸借リース減損回次トラン</t>
  </si>
  <si>
    <t>FAGSKTRN</t>
  </si>
  <si>
    <t>当年度償却内訳マスタ</t>
  </si>
  <si>
    <t>FATSUMST</t>
  </si>
  <si>
    <t>当年度償却内訳異動前テーブル</t>
  </si>
  <si>
    <t>FATSIMST</t>
  </si>
  <si>
    <t>年月別契約トラン</t>
  </si>
  <si>
    <t>FANKYTRN</t>
  </si>
  <si>
    <t>年月別契約台帳トラン</t>
  </si>
  <si>
    <t>FANKDTRN</t>
  </si>
  <si>
    <t>年月別支払トラン</t>
  </si>
  <si>
    <t>FANSHTRN</t>
  </si>
  <si>
    <t>年月別支払回次トラン</t>
  </si>
  <si>
    <t>年月別資産マスタ</t>
  </si>
  <si>
    <t>FANSNMST</t>
  </si>
  <si>
    <t>年月別資産台帳マスタ</t>
  </si>
  <si>
    <t>FANSDMST</t>
  </si>
  <si>
    <t>年月別物件トラン</t>
  </si>
  <si>
    <t>FANBKTRN</t>
  </si>
  <si>
    <t>年月別物件台帳トラン</t>
  </si>
  <si>
    <t>FANBDTRN</t>
  </si>
  <si>
    <t>評価額計算テーブル</t>
  </si>
  <si>
    <t>FAHGKMST</t>
  </si>
  <si>
    <t>物件トラン</t>
  </si>
  <si>
    <t>FABKNTRN</t>
  </si>
  <si>
    <t>物件ワーク</t>
  </si>
  <si>
    <t>FABKNWRK</t>
  </si>
  <si>
    <t>物件台帳トラン</t>
  </si>
  <si>
    <t>FABKDTRN</t>
  </si>
  <si>
    <t>物件台帳ワーク</t>
  </si>
  <si>
    <t>FABKDWRK</t>
  </si>
  <si>
    <t>物件台帳履歴トラン</t>
  </si>
  <si>
    <t>FABKDREK</t>
  </si>
  <si>
    <t>物件履歴トラン</t>
  </si>
  <si>
    <t>FABKNREK</t>
  </si>
  <si>
    <t>予測条件マスタ</t>
  </si>
  <si>
    <t>FAYSJMST</t>
  </si>
  <si>
    <t>データアクセスログ</t>
    <phoneticPr fontId="1"/>
  </si>
  <si>
    <t>※証憑機能（添付ファイル）は上記に含まれておりません。</t>
    <rPh sb="1" eb="3">
      <t>ショウヒョウ</t>
    </rPh>
    <rPh sb="3" eb="5">
      <t>キノウ</t>
    </rPh>
    <rPh sb="6" eb="8">
      <t>テンプ</t>
    </rPh>
    <rPh sb="14" eb="16">
      <t>ジョウキ</t>
    </rPh>
    <rPh sb="17" eb="18">
      <t>フク</t>
    </rPh>
    <phoneticPr fontId="9"/>
  </si>
  <si>
    <t>　管理する場合はWebServer側のDisk容量として別途計算を</t>
    <rPh sb="1" eb="3">
      <t>カンリ</t>
    </rPh>
    <rPh sb="5" eb="7">
      <t>バアイ</t>
    </rPh>
    <rPh sb="17" eb="18">
      <t>ガワ</t>
    </rPh>
    <rPh sb="23" eb="25">
      <t>ヨウリョウ</t>
    </rPh>
    <rPh sb="28" eb="30">
      <t>ベット</t>
    </rPh>
    <rPh sb="30" eb="32">
      <t>ケイサン</t>
    </rPh>
    <phoneticPr fontId="9"/>
  </si>
  <si>
    <t>　お願いします</t>
    <rPh sb="2" eb="3">
      <t>ネガ</t>
    </rPh>
    <phoneticPr fontId="9"/>
  </si>
  <si>
    <t>固定資産配賦結果退避ワーク</t>
    <phoneticPr fontId="18"/>
  </si>
  <si>
    <t>FAHFKBAK</t>
    <phoneticPr fontId="18"/>
  </si>
  <si>
    <t xml:space="preserve">  ＜建仮オプション＞</t>
    <rPh sb="3" eb="5">
      <t>ケンカリ</t>
    </rPh>
    <phoneticPr fontId="1"/>
  </si>
  <si>
    <t>建仮番号採番マスタ</t>
  </si>
  <si>
    <t>建仮方針マスタ</t>
  </si>
  <si>
    <t>建仮明細マスタ</t>
  </si>
  <si>
    <t>建仮明細履歴マスタ</t>
  </si>
  <si>
    <t>建仮用インターフェース用仕訳伝票ヘッダ</t>
  </si>
  <si>
    <t>建仮用インターフェース用仕訳伝票明細</t>
  </si>
  <si>
    <t>建仮用仕訳伝票発生源テーブル</t>
  </si>
  <si>
    <t>建仮稟議マスタ</t>
  </si>
  <si>
    <t>建仮稟議履歴マスタ</t>
  </si>
  <si>
    <t>CPTRSMST</t>
  </si>
  <si>
    <t>CPSBNMST</t>
  </si>
  <si>
    <t>CPKAIMST</t>
  </si>
  <si>
    <t>CPMEIMST</t>
  </si>
  <si>
    <t>CPMEIREK</t>
  </si>
  <si>
    <t>CPSWHTRN</t>
  </si>
  <si>
    <t>CPSWMTRN</t>
  </si>
  <si>
    <t>CPSHGMST</t>
  </si>
  <si>
    <t>CPRINMST</t>
  </si>
  <si>
    <t>CPRINREK</t>
  </si>
  <si>
    <t>年間平均稟議数</t>
    <rPh sb="0" eb="2">
      <t>ネンカン</t>
    </rPh>
    <rPh sb="2" eb="4">
      <t>ヘイキン</t>
    </rPh>
    <rPh sb="4" eb="6">
      <t>リンギ</t>
    </rPh>
    <rPh sb="6" eb="7">
      <t>スウ</t>
    </rPh>
    <phoneticPr fontId="9"/>
  </si>
  <si>
    <t>年間平均建仮件数（固定資産）</t>
    <rPh sb="0" eb="2">
      <t>ネンカン</t>
    </rPh>
    <rPh sb="2" eb="4">
      <t>ヘイキン</t>
    </rPh>
    <rPh sb="4" eb="6">
      <t>ケンカリ</t>
    </rPh>
    <rPh sb="6" eb="8">
      <t>ケンスウ</t>
    </rPh>
    <rPh sb="9" eb="11">
      <t>コテイ</t>
    </rPh>
    <rPh sb="11" eb="13">
      <t>シサン</t>
    </rPh>
    <phoneticPr fontId="9"/>
  </si>
  <si>
    <t>年間平均建仮件数（リース）</t>
    <rPh sb="0" eb="2">
      <t>ネンカン</t>
    </rPh>
    <rPh sb="2" eb="4">
      <t>ヘイキン</t>
    </rPh>
    <rPh sb="4" eb="6">
      <t>ケンカリ</t>
    </rPh>
    <rPh sb="6" eb="8">
      <t>ケンスウ</t>
    </rPh>
    <phoneticPr fontId="18"/>
  </si>
  <si>
    <t>年間平均建仮件数（費用振替）</t>
    <rPh sb="0" eb="2">
      <t>ネンカン</t>
    </rPh>
    <rPh sb="2" eb="4">
      <t>ヘイキン</t>
    </rPh>
    <rPh sb="4" eb="6">
      <t>ケンカリ</t>
    </rPh>
    <rPh sb="6" eb="8">
      <t>ケンスウ</t>
    </rPh>
    <rPh sb="9" eb="11">
      <t>ヒヨウ</t>
    </rPh>
    <rPh sb="11" eb="13">
      <t>フリカエ</t>
    </rPh>
    <phoneticPr fontId="18"/>
  </si>
  <si>
    <t>建仮オプション使用有無(0:未使用 1:使用)</t>
    <rPh sb="0" eb="2">
      <t>ケンカリ</t>
    </rPh>
    <rPh sb="7" eb="9">
      <t>シヨウ</t>
    </rPh>
    <rPh sb="9" eb="11">
      <t>ウム</t>
    </rPh>
    <phoneticPr fontId="9"/>
  </si>
  <si>
    <r>
      <t xml:space="preserve">SuperStream-NX </t>
    </r>
    <r>
      <rPr>
        <b/>
        <sz val="20"/>
        <rFont val="ＭＳ Ｐゴシック"/>
        <family val="3"/>
        <charset val="128"/>
      </rPr>
      <t>固定資産管理</t>
    </r>
    <rPh sb="15" eb="17">
      <t>コテイ</t>
    </rPh>
    <rPh sb="17" eb="19">
      <t>シサン</t>
    </rPh>
    <rPh sb="19" eb="21">
      <t>カンリ</t>
    </rPh>
    <phoneticPr fontId="4"/>
  </si>
  <si>
    <t>予測結果ワーク</t>
    <phoneticPr fontId="18"/>
  </si>
  <si>
    <t>FAYSKWRK</t>
    <phoneticPr fontId="18"/>
  </si>
  <si>
    <t>SSAC</t>
    <phoneticPr fontId="18"/>
  </si>
  <si>
    <t>年間平均建仮異動数（増加は含まない）</t>
    <rPh sb="0" eb="2">
      <t>ネンカン</t>
    </rPh>
    <rPh sb="2" eb="4">
      <t>ヘイキン</t>
    </rPh>
    <rPh sb="4" eb="6">
      <t>ケンカリ</t>
    </rPh>
    <rPh sb="6" eb="8">
      <t>イドウ</t>
    </rPh>
    <rPh sb="8" eb="9">
      <t>スウ</t>
    </rPh>
    <phoneticPr fontId="18"/>
  </si>
  <si>
    <t>FANSKTRN</t>
    <phoneticPr fontId="18"/>
  </si>
  <si>
    <t>リース月別利息トラン</t>
    <phoneticPr fontId="18"/>
  </si>
  <si>
    <t>FALTRTRN</t>
    <phoneticPr fontId="18"/>
  </si>
  <si>
    <t>FALTRREK</t>
    <phoneticPr fontId="18"/>
  </si>
  <si>
    <t>リース月別利息履歴トラン</t>
    <phoneticPr fontId="18"/>
  </si>
  <si>
    <t>FASG2MST</t>
    <phoneticPr fontId="18"/>
  </si>
  <si>
    <t>仕訳伝票発生源テーブル２</t>
    <rPh sb="0" eb="2">
      <t>シワケ</t>
    </rPh>
    <rPh sb="2" eb="4">
      <t>デンピョウ</t>
    </rPh>
    <rPh sb="4" eb="7">
      <t>ハッセイゲン</t>
    </rPh>
    <phoneticPr fontId="18"/>
  </si>
  <si>
    <t>FAHOIMST</t>
  </si>
  <si>
    <t>FAHCGMST</t>
  </si>
  <si>
    <t>FAHCIMST</t>
  </si>
  <si>
    <t>FAHHPMST</t>
  </si>
  <si>
    <t>FAHHTMST</t>
  </si>
  <si>
    <t>FAHOPMST</t>
  </si>
  <si>
    <t>FAHOJMST</t>
  </si>
  <si>
    <t>ＦＡ汎用検索出力情報マスタ</t>
  </si>
  <si>
    <t>ＦＡ汎用検索カテゴリマスタ</t>
  </si>
  <si>
    <t>ＦＡ汎用検索カテゴリ項目マスタ</t>
  </si>
  <si>
    <t>ＦＡ汎用検索表示項目パターンマスタ</t>
  </si>
  <si>
    <t>ＦＡ汎用検索表示項目定義マスタ</t>
  </si>
  <si>
    <t>ＦＡ汎用検索出力パターンマスタ</t>
  </si>
  <si>
    <t>ＦＡ汎用検索出力条件マスタ</t>
  </si>
  <si>
    <t>資産入力明細ワーク</t>
    <rPh sb="0" eb="2">
      <t>シサン</t>
    </rPh>
    <rPh sb="2" eb="4">
      <t>ニュウリョク</t>
    </rPh>
    <rPh sb="4" eb="6">
      <t>メイサイ</t>
    </rPh>
    <phoneticPr fontId="18"/>
  </si>
  <si>
    <t>FASNMWRK</t>
    <phoneticPr fontId="18"/>
  </si>
  <si>
    <t>資産明細マスタ</t>
    <rPh sb="0" eb="2">
      <t>シサン</t>
    </rPh>
    <rPh sb="2" eb="4">
      <t>メイサイ</t>
    </rPh>
    <phoneticPr fontId="18"/>
  </si>
  <si>
    <t>FASNMMST</t>
    <phoneticPr fontId="18"/>
  </si>
  <si>
    <t>資産明細履歴マスタ</t>
    <rPh sb="0" eb="2">
      <t>シサン</t>
    </rPh>
    <rPh sb="2" eb="4">
      <t>メイサイ</t>
    </rPh>
    <rPh sb="4" eb="6">
      <t>リレキ</t>
    </rPh>
    <phoneticPr fontId="18"/>
  </si>
  <si>
    <t>FASNMREK</t>
    <phoneticPr fontId="18"/>
  </si>
  <si>
    <t>年月別資産明細マスタ</t>
    <rPh sb="0" eb="2">
      <t>ネンゲツ</t>
    </rPh>
    <rPh sb="2" eb="3">
      <t>ベツ</t>
    </rPh>
    <rPh sb="3" eb="5">
      <t>シサン</t>
    </rPh>
    <rPh sb="5" eb="7">
      <t>メイサイ</t>
    </rPh>
    <phoneticPr fontId="18"/>
  </si>
  <si>
    <t>建仮明細内訳マスタ</t>
    <rPh sb="0" eb="2">
      <t>ケンカリ</t>
    </rPh>
    <rPh sb="2" eb="4">
      <t>メイサイ</t>
    </rPh>
    <rPh sb="4" eb="6">
      <t>ウチワケ</t>
    </rPh>
    <phoneticPr fontId="18"/>
  </si>
  <si>
    <t>建仮明細履歴内訳マスタ</t>
    <rPh sb="0" eb="2">
      <t>ケンカリ</t>
    </rPh>
    <rPh sb="2" eb="4">
      <t>メイサイ</t>
    </rPh>
    <rPh sb="4" eb="6">
      <t>リレキ</t>
    </rPh>
    <rPh sb="6" eb="8">
      <t>ウチワケ</t>
    </rPh>
    <phoneticPr fontId="18"/>
  </si>
  <si>
    <t>CPMEUMST</t>
    <phoneticPr fontId="18"/>
  </si>
  <si>
    <t>CPMEUREK</t>
    <phoneticPr fontId="18"/>
  </si>
  <si>
    <t>FANSMMST</t>
    <phoneticPr fontId="18"/>
  </si>
  <si>
    <t>エンティティ名</t>
    <phoneticPr fontId="18"/>
  </si>
  <si>
    <t>★１</t>
    <phoneticPr fontId="18"/>
  </si>
  <si>
    <t>資産異動時、明細情報を入力する割合</t>
    <rPh sb="0" eb="2">
      <t>シサン</t>
    </rPh>
    <rPh sb="2" eb="4">
      <t>イドウ</t>
    </rPh>
    <rPh sb="4" eb="5">
      <t>ジ</t>
    </rPh>
    <rPh sb="6" eb="8">
      <t>メイサイ</t>
    </rPh>
    <rPh sb="8" eb="10">
      <t>ジョウホウ</t>
    </rPh>
    <rPh sb="11" eb="13">
      <t>ニュウリョク</t>
    </rPh>
    <rPh sb="15" eb="17">
      <t>ワリアイ</t>
    </rPh>
    <phoneticPr fontId="18"/>
  </si>
  <si>
    <t>　　　の場合0.3</t>
    <phoneticPr fontId="18"/>
  </si>
  <si>
    <t>★1 全資産の内、資産登録・処分時、明細（請求書）情報を入力する</t>
    <rPh sb="9" eb="11">
      <t>シサン</t>
    </rPh>
    <rPh sb="11" eb="13">
      <t>トウロク</t>
    </rPh>
    <rPh sb="14" eb="16">
      <t>ショブン</t>
    </rPh>
    <rPh sb="16" eb="17">
      <t>ジ</t>
    </rPh>
    <rPh sb="18" eb="20">
      <t>メイサイ</t>
    </rPh>
    <rPh sb="21" eb="24">
      <t>セイキュウショ</t>
    </rPh>
    <rPh sb="25" eb="27">
      <t>ジョウホウ</t>
    </rPh>
    <rPh sb="28" eb="30">
      <t>ニュウリョク</t>
    </rPh>
    <phoneticPr fontId="18"/>
  </si>
  <si>
    <t>　　資産数の割合</t>
    <rPh sb="6" eb="8">
      <t>ワリアイ</t>
    </rPh>
    <phoneticPr fontId="18"/>
  </si>
  <si>
    <t>　　・明細（請求書）管理しない場合はゼロ</t>
    <rPh sb="3" eb="5">
      <t>メイサイ</t>
    </rPh>
    <rPh sb="6" eb="9">
      <t>セイキュウショ</t>
    </rPh>
    <rPh sb="10" eb="12">
      <t>カンリ</t>
    </rPh>
    <rPh sb="15" eb="17">
      <t>バアイ</t>
    </rPh>
    <phoneticPr fontId="18"/>
  </si>
  <si>
    <t>　　・全資産10,000件の内、明細（請求書）入力する資産が3,000件</t>
    <rPh sb="3" eb="4">
      <t>ゼン</t>
    </rPh>
    <rPh sb="4" eb="6">
      <t>シサン</t>
    </rPh>
    <rPh sb="12" eb="13">
      <t>ケン</t>
    </rPh>
    <rPh sb="14" eb="15">
      <t>ウチ</t>
    </rPh>
    <rPh sb="16" eb="18">
      <t>メイサイ</t>
    </rPh>
    <rPh sb="19" eb="22">
      <t>セイキュウショ</t>
    </rPh>
    <rPh sb="23" eb="25">
      <t>ニュウリョク</t>
    </rPh>
    <rPh sb="27" eb="29">
      <t>シサン</t>
    </rPh>
    <rPh sb="35" eb="36">
      <t>ケン</t>
    </rPh>
    <phoneticPr fontId="18"/>
  </si>
  <si>
    <t>★2</t>
    <phoneticPr fontId="18"/>
  </si>
  <si>
    <t>建仮計上時、明細情報を入力する割合</t>
    <rPh sb="0" eb="2">
      <t>ケンカリ</t>
    </rPh>
    <rPh sb="2" eb="4">
      <t>ケイジョウ</t>
    </rPh>
    <rPh sb="4" eb="5">
      <t>ジ</t>
    </rPh>
    <rPh sb="6" eb="8">
      <t>メイサイ</t>
    </rPh>
    <rPh sb="8" eb="10">
      <t>ジョウホウ</t>
    </rPh>
    <rPh sb="11" eb="13">
      <t>ニュウリョク</t>
    </rPh>
    <rPh sb="15" eb="17">
      <t>ワリアイ</t>
    </rPh>
    <phoneticPr fontId="18"/>
  </si>
  <si>
    <t>★2 全建仮の内、建仮計上時、明細（請求書）情報を入力する建仮数の割合</t>
    <rPh sb="3" eb="4">
      <t>ゼン</t>
    </rPh>
    <rPh sb="4" eb="6">
      <t>ケンカリ</t>
    </rPh>
    <rPh sb="7" eb="8">
      <t>ウチ</t>
    </rPh>
    <rPh sb="9" eb="11">
      <t>ケンカリ</t>
    </rPh>
    <rPh sb="11" eb="13">
      <t>ケイジョウ</t>
    </rPh>
    <rPh sb="13" eb="14">
      <t>ジ</t>
    </rPh>
    <rPh sb="15" eb="17">
      <t>メイサイ</t>
    </rPh>
    <rPh sb="18" eb="21">
      <t>セイキュウショ</t>
    </rPh>
    <rPh sb="22" eb="24">
      <t>ジョウホウ</t>
    </rPh>
    <rPh sb="25" eb="27">
      <t>ニュウリョク</t>
    </rPh>
    <rPh sb="29" eb="31">
      <t>ケンカリ</t>
    </rPh>
    <rPh sb="31" eb="32">
      <t>スウ</t>
    </rPh>
    <rPh sb="33" eb="35">
      <t>ワリアイ</t>
    </rPh>
    <phoneticPr fontId="18"/>
  </si>
  <si>
    <t>FADELMST</t>
  </si>
  <si>
    <t>FASSMLOG</t>
  </si>
  <si>
    <t>FASDMLOG</t>
  </si>
  <si>
    <t>FASMMLOG</t>
  </si>
  <si>
    <t>FAKYTLOG</t>
  </si>
  <si>
    <t>FAKDTLOG</t>
  </si>
  <si>
    <t>FABKTLOG</t>
  </si>
  <si>
    <t>FABDTLOG</t>
  </si>
  <si>
    <t>FASRTLOG</t>
  </si>
  <si>
    <t>FASNRLOG</t>
  </si>
  <si>
    <t>FASDRLOG</t>
  </si>
  <si>
    <t>FASMRLOG</t>
  </si>
  <si>
    <t>FA削除データ管理マスタ</t>
    <rPh sb="2" eb="4">
      <t>サクジョ</t>
    </rPh>
    <rPh sb="7" eb="9">
      <t>カンリ</t>
    </rPh>
    <phoneticPr fontId="4"/>
  </si>
  <si>
    <t>資産マスタ削除履歴</t>
  </si>
  <si>
    <t>資産台帳マスタ削除履歴</t>
  </si>
  <si>
    <t>資産明細マスタ削除履歴</t>
  </si>
  <si>
    <t>契約トラン削除履歴</t>
  </si>
  <si>
    <t>契約台帳トラン削除履歴</t>
  </si>
  <si>
    <t>物件トラン削除履歴</t>
  </si>
  <si>
    <t>物件台帳トラン削除履歴</t>
  </si>
  <si>
    <t>支払トラン削除履歴</t>
  </si>
  <si>
    <t>想定月次更新取消回数</t>
    <rPh sb="0" eb="2">
      <t>ソウテイ</t>
    </rPh>
    <rPh sb="2" eb="8">
      <t>ゲツジコウシントリケシ</t>
    </rPh>
    <rPh sb="8" eb="10">
      <t>カイスウ</t>
    </rPh>
    <phoneticPr fontId="18"/>
  </si>
  <si>
    <t>★3</t>
  </si>
  <si>
    <t>資産履歴マスタ削除履歴</t>
    <phoneticPr fontId="18"/>
  </si>
  <si>
    <t>資産台帳履歴マスタ削除履歴</t>
    <phoneticPr fontId="18"/>
  </si>
  <si>
    <t>資産明細履歴マスタ削除履歴</t>
    <phoneticPr fontId="18"/>
  </si>
  <si>
    <t>契約履歴トラン削除履歴</t>
    <phoneticPr fontId="18"/>
  </si>
  <si>
    <t>FAKYRLOG</t>
    <phoneticPr fontId="18"/>
  </si>
  <si>
    <t>FAKDRLOG</t>
    <phoneticPr fontId="18"/>
  </si>
  <si>
    <t>契約台帳履歴トラン削除履歴</t>
    <phoneticPr fontId="18"/>
  </si>
  <si>
    <t>FABKRLOG</t>
    <phoneticPr fontId="18"/>
  </si>
  <si>
    <t>物件履歴トラン削除履歴</t>
    <phoneticPr fontId="18"/>
  </si>
  <si>
    <t>物件台帳履歴トラン削除履歴</t>
    <phoneticPr fontId="18"/>
  </si>
  <si>
    <t>FABDRLOG</t>
    <phoneticPr fontId="18"/>
  </si>
  <si>
    <t>FASRRLOG</t>
    <phoneticPr fontId="18"/>
  </si>
  <si>
    <t>支払履歴トラン削除履歴</t>
    <phoneticPr fontId="18"/>
  </si>
  <si>
    <t>CPKRMLOG</t>
    <phoneticPr fontId="18"/>
  </si>
  <si>
    <t>建仮稟議マスタ削除履歴</t>
    <phoneticPr fontId="18"/>
  </si>
  <si>
    <t>CPKMMLOG</t>
    <phoneticPr fontId="18"/>
  </si>
  <si>
    <t>建仮明細マスタ削除履歴</t>
    <phoneticPr fontId="18"/>
  </si>
  <si>
    <t>CPKUMLOG</t>
    <phoneticPr fontId="18"/>
  </si>
  <si>
    <t>建仮明細内訳マスタ削除履歴</t>
    <phoneticPr fontId="18"/>
  </si>
  <si>
    <t>CPKRRLOG</t>
    <phoneticPr fontId="18"/>
  </si>
  <si>
    <t>建仮稟議履歴マスタ削除履歴</t>
    <phoneticPr fontId="18"/>
  </si>
  <si>
    <t>建仮明細履歴マスタ削除履歴</t>
    <phoneticPr fontId="18"/>
  </si>
  <si>
    <t>CPKMRLOG</t>
    <phoneticPr fontId="18"/>
  </si>
  <si>
    <t>CPKURLOG</t>
    <phoneticPr fontId="18"/>
  </si>
  <si>
    <t>建仮トランザクション番号採番マスタ</t>
    <phoneticPr fontId="18"/>
  </si>
  <si>
    <r>
      <t>建仮明細履歴</t>
    </r>
    <r>
      <rPr>
        <sz val="11"/>
        <rFont val="ＭＳ Ｐゴシック"/>
        <family val="3"/>
        <charset val="128"/>
        <scheme val="minor"/>
      </rPr>
      <t>内訳マスタ削除履歴</t>
    </r>
    <rPh sb="6" eb="8">
      <t>ウチワケ</t>
    </rPh>
    <phoneticPr fontId="4"/>
  </si>
  <si>
    <t>★3 一年間最大12ヶ月内における月次更新取消が想定される回数を入力する</t>
    <rPh sb="3" eb="5">
      <t>イチネン</t>
    </rPh>
    <rPh sb="5" eb="6">
      <t>カン</t>
    </rPh>
    <rPh sb="12" eb="13">
      <t>ナイ</t>
    </rPh>
    <rPh sb="17" eb="19">
      <t>ゲツジ</t>
    </rPh>
    <rPh sb="19" eb="21">
      <t>コウシン</t>
    </rPh>
    <rPh sb="21" eb="23">
      <t>トリケシ</t>
    </rPh>
    <rPh sb="24" eb="26">
      <t>ソウテイ</t>
    </rPh>
    <rPh sb="29" eb="31">
      <t>カイスウ</t>
    </rPh>
    <rPh sb="32" eb="34">
      <t>ニュウリョク</t>
    </rPh>
    <phoneticPr fontId="18"/>
  </si>
  <si>
    <t>2026-06-01版</t>
    <phoneticPr fontId="18"/>
  </si>
  <si>
    <t>リース月別利息ワーク</t>
    <rPh sb="3" eb="7">
      <t>ツキベツリソク</t>
    </rPh>
    <phoneticPr fontId="18"/>
  </si>
  <si>
    <t>FALTRWRK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</si>
</sst>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#,###,###,##0.00"/>
    <numFmt numFmtId="177" formatCode="#,##0_);[Red]\(#,##0\)"/>
    <numFmt numFmtId="178" formatCode="#,##0.0;[Red]\-#,##0.0"/>
    <numFmt numFmtId="179" formatCode="#,##0_ "/>
    <numFmt numFmtId="180" formatCode="#,##0.0000"/>
  </numFmts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name val="ＭＳ Ｐ明朝"/>
      <family val="1"/>
      <charset val="128"/>
    </font>
    <font>
      <sz val="10"/>
      <color indexed="39"/>
      <name val="ＭＳ 明朝"/>
      <family val="1"/>
      <charset val="128"/>
    </font>
    <font>
      <sz val="10"/>
      <color indexed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0"/>
      <color rgb="FF0000FF"/>
      <name val="ＭＳ 明朝"/>
      <family val="1"/>
      <charset val="128"/>
    </font>
    <font>
      <sz val="10"/>
      <color rgb="FF0000FF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ゴシック"/>
      <family val="2"/>
      <charset val="128"/>
    </font>
    <font>
      <b/>
      <sz val="20"/>
      <name val="Tahoma"/>
      <family val="2"/>
    </font>
    <font>
      <b/>
      <sz val="2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color rgb="FF00206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4" fillId="0" borderId="0"/>
    <xf numFmtId="0" fontId="5" fillId="0" borderId="0"/>
    <xf numFmtId="0" fontId="23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0" fontId="2" fillId="4" borderId="1" xfId="0" applyFont="1" applyFill="1" applyBorder="1" applyAlignment="1">
      <alignment horizontal="center" vertical="center"/>
    </xf>
    <xf numFmtId="0" fontId="4" fillId="0" borderId="2" xfId="2" applyBorder="1"/>
    <xf numFmtId="0" fontId="6" fillId="0" borderId="3" xfId="2" applyFont="1" applyBorder="1"/>
    <xf numFmtId="0" fontId="4" fillId="0" borderId="3" xfId="2" applyBorder="1"/>
    <xf numFmtId="0" fontId="4" fillId="0" borderId="4" xfId="2" applyBorder="1"/>
    <xf numFmtId="0" fontId="4" fillId="0" borderId="5" xfId="2" applyBorder="1"/>
    <xf numFmtId="0" fontId="4" fillId="0" borderId="0" xfId="2"/>
    <xf numFmtId="176" fontId="7" fillId="0" borderId="0" xfId="2" applyNumberFormat="1" applyFont="1"/>
    <xf numFmtId="0" fontId="4" fillId="0" borderId="6" xfId="2" applyBorder="1"/>
    <xf numFmtId="0" fontId="4" fillId="0" borderId="7" xfId="2" applyBorder="1"/>
    <xf numFmtId="176" fontId="4" fillId="2" borderId="8" xfId="2" applyNumberFormat="1" applyFill="1" applyBorder="1"/>
    <xf numFmtId="0" fontId="4" fillId="0" borderId="9" xfId="2" applyBorder="1"/>
    <xf numFmtId="0" fontId="8" fillId="0" borderId="0" xfId="2" applyFont="1" applyAlignment="1">
      <alignment horizontal="right"/>
    </xf>
    <xf numFmtId="0" fontId="9" fillId="0" borderId="0" xfId="3" applyFont="1"/>
    <xf numFmtId="0" fontId="11" fillId="0" borderId="0" xfId="2" applyFont="1"/>
    <xf numFmtId="0" fontId="11" fillId="0" borderId="6" xfId="2" applyFont="1" applyBorder="1"/>
    <xf numFmtId="0" fontId="12" fillId="0" borderId="10" xfId="3" applyFont="1" applyBorder="1" applyProtection="1">
      <protection hidden="1"/>
    </xf>
    <xf numFmtId="0" fontId="8" fillId="0" borderId="0" xfId="2" applyFont="1"/>
    <xf numFmtId="0" fontId="6" fillId="0" borderId="0" xfId="2" applyFont="1"/>
    <xf numFmtId="0" fontId="9" fillId="0" borderId="0" xfId="2" applyFont="1" applyAlignment="1">
      <alignment vertical="top"/>
    </xf>
    <xf numFmtId="0" fontId="14" fillId="0" borderId="0" xfId="2" applyFont="1"/>
    <xf numFmtId="38" fontId="10" fillId="3" borderId="1" xfId="1" applyFont="1" applyFill="1" applyBorder="1" applyAlignment="1"/>
    <xf numFmtId="38" fontId="13" fillId="3" borderId="11" xfId="1" applyFont="1" applyFill="1" applyBorder="1" applyAlignment="1"/>
    <xf numFmtId="0" fontId="0" fillId="0" borderId="0" xfId="0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0" fontId="15" fillId="0" borderId="12" xfId="2" applyFont="1" applyBorder="1"/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6" fontId="0" fillId="0" borderId="0" xfId="0" applyNumberForma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0" xfId="3" applyFont="1" applyAlignment="1">
      <alignment horizontal="left" wrapText="1"/>
    </xf>
    <xf numFmtId="0" fontId="3" fillId="0" borderId="16" xfId="0" applyFont="1" applyBorder="1" applyAlignment="1"/>
    <xf numFmtId="49" fontId="3" fillId="0" borderId="16" xfId="0" applyNumberFormat="1" applyFont="1" applyBorder="1" applyAlignment="1"/>
    <xf numFmtId="0" fontId="0" fillId="0" borderId="16" xfId="0" applyBorder="1">
      <alignment vertical="center"/>
    </xf>
    <xf numFmtId="0" fontId="0" fillId="0" borderId="16" xfId="0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177" fontId="16" fillId="0" borderId="0" xfId="1" applyNumberFormat="1" applyFont="1">
      <alignment vertical="center"/>
    </xf>
    <xf numFmtId="177" fontId="2" fillId="4" borderId="1" xfId="1" applyNumberFormat="1" applyFont="1" applyFill="1" applyBorder="1" applyAlignment="1">
      <alignment horizontal="center" vertical="center"/>
    </xf>
    <xf numFmtId="177" fontId="19" fillId="0" borderId="1" xfId="0" applyNumberFormat="1" applyFont="1" applyBorder="1" applyAlignment="1">
      <alignment horizontal="right" vertical="center"/>
    </xf>
    <xf numFmtId="0" fontId="20" fillId="0" borderId="10" xfId="3" applyFont="1" applyBorder="1" applyProtection="1">
      <protection hidden="1"/>
    </xf>
    <xf numFmtId="177" fontId="17" fillId="0" borderId="1" xfId="0" applyNumberFormat="1" applyFont="1" applyBorder="1" applyAlignment="1">
      <alignment horizontal="right" vertical="center"/>
    </xf>
    <xf numFmtId="177" fontId="19" fillId="0" borderId="1" xfId="1" applyNumberFormat="1" applyFont="1" applyBorder="1" applyAlignment="1">
      <alignment horizontal="right" vertical="center"/>
    </xf>
    <xf numFmtId="38" fontId="20" fillId="3" borderId="1" xfId="1" applyFont="1" applyFill="1" applyBorder="1" applyAlignment="1"/>
    <xf numFmtId="38" fontId="20" fillId="3" borderId="11" xfId="1" applyFont="1" applyFill="1" applyBorder="1" applyAlignment="1"/>
    <xf numFmtId="177" fontId="17" fillId="0" borderId="1" xfId="1" applyNumberFormat="1" applyFont="1" applyBorder="1" applyAlignment="1">
      <alignment horizontal="right" vertical="center"/>
    </xf>
    <xf numFmtId="0" fontId="20" fillId="0" borderId="1" xfId="2" applyFont="1" applyBorder="1"/>
    <xf numFmtId="38" fontId="21" fillId="3" borderId="11" xfId="1" applyFont="1" applyFill="1" applyBorder="1" applyAlignment="1"/>
    <xf numFmtId="0" fontId="22" fillId="0" borderId="1" xfId="0" applyFont="1" applyBorder="1">
      <alignment vertical="center"/>
    </xf>
    <xf numFmtId="177" fontId="17" fillId="0" borderId="1" xfId="1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/>
    <xf numFmtId="49" fontId="3" fillId="5" borderId="1" xfId="0" applyNumberFormat="1" applyFont="1" applyFill="1" applyBorder="1" applyAlignment="1"/>
    <xf numFmtId="49" fontId="8" fillId="5" borderId="1" xfId="0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right" vertical="center"/>
    </xf>
    <xf numFmtId="177" fontId="17" fillId="5" borderId="1" xfId="1" applyNumberFormat="1" applyFont="1" applyFill="1" applyBorder="1" applyAlignment="1">
      <alignment horizontal="right" vertical="center"/>
    </xf>
    <xf numFmtId="177" fontId="16" fillId="0" borderId="16" xfId="1" applyNumberFormat="1" applyFont="1" applyBorder="1">
      <alignment vertical="center"/>
    </xf>
    <xf numFmtId="0" fontId="24" fillId="0" borderId="3" xfId="3" applyFont="1" applyBorder="1"/>
    <xf numFmtId="0" fontId="26" fillId="0" borderId="0" xfId="2" applyFont="1" applyAlignment="1">
      <alignment horizontal="center" vertical="top"/>
    </xf>
    <xf numFmtId="177" fontId="0" fillId="0" borderId="0" xfId="0" applyNumberFormat="1">
      <alignment vertical="center"/>
    </xf>
    <xf numFmtId="0" fontId="17" fillId="0" borderId="0" xfId="0" applyFont="1">
      <alignment vertical="center"/>
    </xf>
    <xf numFmtId="177" fontId="19" fillId="0" borderId="1" xfId="1" applyNumberFormat="1" applyFont="1" applyFill="1" applyBorder="1" applyAlignment="1">
      <alignment horizontal="right" vertical="center"/>
    </xf>
    <xf numFmtId="38" fontId="27" fillId="3" borderId="1" xfId="1" applyFont="1" applyFill="1" applyBorder="1" applyAlignment="1"/>
    <xf numFmtId="0" fontId="9" fillId="0" borderId="0" xfId="2" quotePrefix="1" applyFont="1" applyAlignment="1">
      <alignment vertical="top"/>
    </xf>
    <xf numFmtId="178" fontId="20" fillId="3" borderId="1" xfId="1" applyNumberFormat="1" applyFont="1" applyFill="1" applyBorder="1" applyAlignment="1"/>
    <xf numFmtId="0" fontId="20" fillId="0" borderId="1" xfId="3" applyFont="1" applyBorder="1" applyProtection="1">
      <protection hidden="1"/>
    </xf>
    <xf numFmtId="180" fontId="0" fillId="0" borderId="1" xfId="0" applyNumberFormat="1" applyBorder="1" applyAlignment="1">
      <alignment horizontal="right" vertical="center"/>
    </xf>
    <xf numFmtId="180" fontId="17" fillId="0" borderId="1" xfId="0" applyNumberFormat="1" applyFont="1" applyBorder="1" applyAlignment="1">
      <alignment horizontal="right" vertical="center"/>
    </xf>
    <xf numFmtId="180" fontId="0" fillId="5" borderId="1" xfId="0" applyNumberFormat="1" applyFill="1" applyBorder="1" applyAlignment="1">
      <alignment horizontal="right" vertical="center"/>
    </xf>
    <xf numFmtId="180" fontId="0" fillId="0" borderId="17" xfId="0" applyNumberFormat="1" applyBorder="1">
      <alignment vertical="center"/>
    </xf>
    <xf numFmtId="179" fontId="17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/>
    <xf numFmtId="49" fontId="3" fillId="0" borderId="1" xfId="0" applyNumberFormat="1" applyFont="1" applyFill="1" applyBorder="1" applyAlignment="1"/>
    <xf numFmtId="49" fontId="8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right" vertical="center"/>
    </xf>
    <xf numFmtId="177" fontId="19" fillId="0" borderId="1" xfId="0" applyNumberFormat="1" applyFont="1" applyFill="1" applyBorder="1" applyAlignment="1">
      <alignment horizontal="right" vertical="center"/>
    </xf>
    <xf numFmtId="180" fontId="17" fillId="0" borderId="1" xfId="0" applyNumberFormat="1" applyFont="1" applyFill="1" applyBorder="1" applyAlignment="1">
      <alignment horizontal="right" vertical="center"/>
    </xf>
    <xf numFmtId="177" fontId="17" fillId="0" borderId="1" xfId="0" applyNumberFormat="1" applyFont="1" applyFill="1" applyBorder="1" applyAlignment="1">
      <alignment horizontal="right" vertical="center"/>
    </xf>
  </cellXfs>
  <cellStyles count="5">
    <cellStyle name="桁区切り" xfId="1" builtinId="6"/>
    <cellStyle name="標準" xfId="0" builtinId="0"/>
    <cellStyle name="標準 2" xfId="4" xr:uid="{00000000-0005-0000-0000-000002000000}"/>
    <cellStyle name="標準_NEW_TBL" xfId="2" xr:uid="{00000000-0005-0000-0000-000003000000}"/>
    <cellStyle name="標準_Sheet1" xfId="3" xr:uid="{00000000-0005-0000-0000-000004000000}"/>
  </cellStyles>
  <dxfs count="0"/>
  <tableStyles count="0" defaultTableStyle="TableStyleMedium9" defaultPivotStyle="PivotStyleLight16"/>
  <colors>
    <mruColors>
      <color rgb="FF0000FF"/>
      <color rgb="FFFF66FF"/>
      <color rgb="FFFFCCFF"/>
      <color rgb="FFFF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TuruKameData/SuperStream/&#21463;&#20449;&#28155;&#20184;/120623_00/SuperStream-NXGP_DB_Calcuration_V100.xlsx" TargetMode="External"/><Relationship Id="rId1" Type="http://schemas.openxmlformats.org/officeDocument/2006/relationships/externalLinkPath" Target="/TuruKameData/SuperStream/&#21463;&#20449;&#28155;&#20184;/120623_00/SuperStream-NXGP_DB_Calcuration_V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</sheetNames>
    <sheetDataSet>
      <sheetData sheetId="0"/>
      <sheetData sheetId="1">
        <row r="58">
          <cell r="I58">
            <v>6802.5725595703125</v>
          </cell>
        </row>
      </sheetData>
      <sheetData sheetId="2">
        <row r="3">
          <cell r="B3" t="str">
            <v>明細/月</v>
          </cell>
        </row>
        <row r="4">
          <cell r="B4" t="str">
            <v>明細/年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55"/>
  <sheetViews>
    <sheetView tabSelected="1" zoomScaleNormal="100" workbookViewId="0">
      <selection activeCell="I1" sqref="I1"/>
    </sheetView>
  </sheetViews>
  <sheetFormatPr defaultRowHeight="13.5"/>
  <cols>
    <col min="1" max="2" width="3.25" customWidth="1"/>
    <col min="3" max="3" width="33.875" customWidth="1"/>
    <col min="4" max="4" width="15.5" customWidth="1"/>
    <col min="5" max="5" width="4.875" customWidth="1"/>
    <col min="6" max="6" width="6.25" customWidth="1"/>
    <col min="7" max="7" width="2.875" customWidth="1"/>
    <col min="8" max="8" width="6.5" customWidth="1"/>
    <col min="9" max="9" width="37.125" customWidth="1"/>
    <col min="10" max="10" width="10.25" customWidth="1"/>
    <col min="11" max="11" width="8.75" style="26" customWidth="1"/>
    <col min="12" max="13" width="19.625" customWidth="1"/>
    <col min="14" max="14" width="17.5" style="43" customWidth="1"/>
    <col min="15" max="15" width="16.125" customWidth="1"/>
    <col min="16" max="16" width="15.125" customWidth="1"/>
    <col min="17" max="17" width="12.875" bestFit="1" customWidth="1"/>
  </cols>
  <sheetData>
    <row r="1" spans="2:17" ht="18.75" customHeight="1" thickBot="1"/>
    <row r="2" spans="2:17" ht="30" customHeight="1">
      <c r="B2" s="4"/>
      <c r="C2" s="62" t="s">
        <v>264</v>
      </c>
      <c r="D2" s="5"/>
      <c r="E2" s="6"/>
      <c r="F2" s="7"/>
      <c r="O2" s="29" t="s">
        <v>16</v>
      </c>
    </row>
    <row r="3" spans="2:17" ht="28.5" customHeight="1" thickBot="1">
      <c r="B3" s="8"/>
      <c r="C3" s="63" t="s">
        <v>363</v>
      </c>
      <c r="D3" s="10"/>
      <c r="E3" s="9"/>
      <c r="F3" s="11"/>
      <c r="H3" s="3" t="s">
        <v>0</v>
      </c>
      <c r="I3" s="3" t="s">
        <v>302</v>
      </c>
      <c r="J3" s="3" t="s">
        <v>1</v>
      </c>
      <c r="K3" s="3" t="s">
        <v>2</v>
      </c>
      <c r="L3" s="30" t="s">
        <v>10</v>
      </c>
      <c r="M3" s="30" t="s">
        <v>11</v>
      </c>
      <c r="N3" s="44" t="s">
        <v>4</v>
      </c>
      <c r="O3" s="3" t="s">
        <v>5</v>
      </c>
    </row>
    <row r="4" spans="2:17" ht="14.25" customHeight="1" thickBot="1">
      <c r="B4" s="8"/>
      <c r="C4" s="12" t="s">
        <v>6</v>
      </c>
      <c r="D4" s="13">
        <f>ROUNDUP($O$151/1024,2)+ROUNDUP($O$153/1024,2)+ROUNDUP($O$154/1024,2)</f>
        <v>158.76999999999998</v>
      </c>
      <c r="E4" s="14" t="s">
        <v>7</v>
      </c>
      <c r="F4" s="11"/>
      <c r="H4" s="1">
        <v>1</v>
      </c>
      <c r="I4" s="2" t="s">
        <v>17</v>
      </c>
      <c r="J4" s="27" t="s">
        <v>18</v>
      </c>
      <c r="K4" s="27" t="s">
        <v>3</v>
      </c>
      <c r="L4" s="42">
        <v>1E-4</v>
      </c>
      <c r="M4" s="42">
        <v>1E-4</v>
      </c>
      <c r="N4" s="45">
        <v>500</v>
      </c>
      <c r="O4" s="71">
        <f>ROUND((L4+M4)*N4,4)</f>
        <v>0.1</v>
      </c>
      <c r="P4" s="65"/>
    </row>
    <row r="5" spans="2:17" ht="14.25" customHeight="1">
      <c r="B5" s="8"/>
      <c r="C5" s="9"/>
      <c r="D5" s="15" t="str">
        <f>"(当初 "&amp;D17&amp;"ヶ年分）"</f>
        <v>(当初 10ヶ年分）</v>
      </c>
      <c r="E5" s="9"/>
      <c r="F5" s="11"/>
      <c r="H5" s="1">
        <v>2</v>
      </c>
      <c r="I5" s="2" t="s">
        <v>19</v>
      </c>
      <c r="J5" s="27" t="s">
        <v>20</v>
      </c>
      <c r="K5" s="27" t="s">
        <v>3</v>
      </c>
      <c r="L5" s="42">
        <v>1E-4</v>
      </c>
      <c r="M5" s="42">
        <v>2.0000000000000001E-4</v>
      </c>
      <c r="N5" s="45">
        <v>500</v>
      </c>
      <c r="O5" s="71">
        <f t="shared" ref="O5:O24" si="0">(L5+M5)*N5</f>
        <v>0.15000000000000002</v>
      </c>
      <c r="P5" s="65"/>
      <c r="Q5" s="31"/>
    </row>
    <row r="6" spans="2:17" ht="14.25" customHeight="1">
      <c r="B6" s="8"/>
      <c r="C6" s="37" t="s">
        <v>8</v>
      </c>
      <c r="D6" s="16"/>
      <c r="E6" s="9"/>
      <c r="F6" s="11"/>
      <c r="H6" s="1">
        <v>3</v>
      </c>
      <c r="I6" s="2" t="s">
        <v>21</v>
      </c>
      <c r="J6" s="27" t="s">
        <v>22</v>
      </c>
      <c r="K6" s="27" t="s">
        <v>3</v>
      </c>
      <c r="L6" s="42">
        <v>1E-4</v>
      </c>
      <c r="M6" s="42">
        <v>2.0000000000000001E-4</v>
      </c>
      <c r="N6" s="45">
        <v>30</v>
      </c>
      <c r="O6" s="71">
        <f t="shared" si="0"/>
        <v>9.0000000000000011E-3</v>
      </c>
      <c r="P6" s="65"/>
      <c r="Q6" s="31"/>
    </row>
    <row r="7" spans="2:17" ht="14.25" customHeight="1">
      <c r="B7" s="8"/>
      <c r="C7" s="28" t="s">
        <v>23</v>
      </c>
      <c r="D7" s="23"/>
      <c r="E7" s="17"/>
      <c r="F7" s="18"/>
      <c r="H7" s="1">
        <v>4</v>
      </c>
      <c r="I7" s="2" t="s">
        <v>24</v>
      </c>
      <c r="J7" s="27" t="s">
        <v>25</v>
      </c>
      <c r="K7" s="27" t="s">
        <v>3</v>
      </c>
      <c r="L7" s="42">
        <v>1E-4</v>
      </c>
      <c r="M7" s="42">
        <v>2.0000000000000001E-4</v>
      </c>
      <c r="N7" s="45">
        <v>30</v>
      </c>
      <c r="O7" s="71">
        <f t="shared" si="0"/>
        <v>9.0000000000000011E-3</v>
      </c>
      <c r="P7" s="65"/>
      <c r="Q7" s="31"/>
    </row>
    <row r="8" spans="2:17" ht="14.25" customHeight="1">
      <c r="B8" s="8"/>
      <c r="C8" s="46" t="s">
        <v>26</v>
      </c>
      <c r="D8" s="24">
        <v>15000</v>
      </c>
      <c r="E8" s="17"/>
      <c r="F8" s="18"/>
      <c r="H8" s="1">
        <v>5</v>
      </c>
      <c r="I8" s="2" t="s">
        <v>27</v>
      </c>
      <c r="J8" s="27" t="s">
        <v>28</v>
      </c>
      <c r="K8" s="27" t="s">
        <v>3</v>
      </c>
      <c r="L8" s="42">
        <v>1E-4</v>
      </c>
      <c r="M8" s="42">
        <v>2.0000000000000001E-4</v>
      </c>
      <c r="N8" s="47">
        <f>$D$17*2</f>
        <v>20</v>
      </c>
      <c r="O8" s="71">
        <f t="shared" si="0"/>
        <v>6.0000000000000001E-3</v>
      </c>
      <c r="P8" s="65"/>
      <c r="Q8" s="31"/>
    </row>
    <row r="9" spans="2:17" ht="14.25" customHeight="1">
      <c r="B9" s="8"/>
      <c r="C9" s="46" t="s">
        <v>29</v>
      </c>
      <c r="D9" s="25">
        <v>500</v>
      </c>
      <c r="E9" s="17"/>
      <c r="F9" s="18"/>
      <c r="H9" s="1">
        <v>6</v>
      </c>
      <c r="I9" s="2" t="s">
        <v>30</v>
      </c>
      <c r="J9" s="27" t="s">
        <v>31</v>
      </c>
      <c r="K9" s="27" t="s">
        <v>3</v>
      </c>
      <c r="L9" s="42">
        <v>1E-4</v>
      </c>
      <c r="M9" s="42">
        <v>2.0000000000000001E-4</v>
      </c>
      <c r="N9" s="45">
        <v>10</v>
      </c>
      <c r="O9" s="71">
        <f t="shared" si="0"/>
        <v>3.0000000000000001E-3</v>
      </c>
      <c r="P9" s="65"/>
      <c r="Q9" s="31"/>
    </row>
    <row r="10" spans="2:17" ht="14.25" customHeight="1">
      <c r="B10" s="8"/>
      <c r="C10" s="46" t="s">
        <v>32</v>
      </c>
      <c r="D10" s="24">
        <v>500</v>
      </c>
      <c r="E10" s="17"/>
      <c r="F10" s="18"/>
      <c r="H10" s="1">
        <v>7</v>
      </c>
      <c r="I10" s="2" t="s">
        <v>33</v>
      </c>
      <c r="J10" s="27" t="s">
        <v>34</v>
      </c>
      <c r="K10" s="27" t="s">
        <v>3</v>
      </c>
      <c r="L10" s="42">
        <v>1E-4</v>
      </c>
      <c r="M10" s="42">
        <v>2.0000000000000001E-4</v>
      </c>
      <c r="N10" s="45">
        <v>10</v>
      </c>
      <c r="O10" s="71">
        <f t="shared" si="0"/>
        <v>3.0000000000000001E-3</v>
      </c>
      <c r="P10" s="65"/>
      <c r="Q10" s="31"/>
    </row>
    <row r="11" spans="2:17" ht="14.25" customHeight="1">
      <c r="B11" s="8"/>
      <c r="C11" s="46" t="s">
        <v>35</v>
      </c>
      <c r="D11" s="24">
        <v>3</v>
      </c>
      <c r="E11" s="17"/>
      <c r="F11" s="18"/>
      <c r="H11" s="1">
        <v>8</v>
      </c>
      <c r="I11" s="2" t="s">
        <v>36</v>
      </c>
      <c r="J11" s="27" t="s">
        <v>37</v>
      </c>
      <c r="K11" s="27" t="s">
        <v>3</v>
      </c>
      <c r="L11" s="42">
        <v>1E-4</v>
      </c>
      <c r="M11" s="42">
        <v>2.0000000000000001E-4</v>
      </c>
      <c r="N11" s="45">
        <v>250</v>
      </c>
      <c r="O11" s="71">
        <f t="shared" si="0"/>
        <v>7.5000000000000011E-2</v>
      </c>
      <c r="P11" s="65"/>
      <c r="Q11" s="31"/>
    </row>
    <row r="12" spans="2:17" ht="14.25" customHeight="1">
      <c r="B12" s="8"/>
      <c r="C12" s="46" t="s">
        <v>38</v>
      </c>
      <c r="D12" s="24">
        <v>100</v>
      </c>
      <c r="E12" s="17"/>
      <c r="F12" s="18"/>
      <c r="H12" s="1">
        <v>9</v>
      </c>
      <c r="I12" s="2" t="s">
        <v>39</v>
      </c>
      <c r="J12" s="27" t="s">
        <v>40</v>
      </c>
      <c r="K12" s="27" t="s">
        <v>3</v>
      </c>
      <c r="L12" s="42">
        <v>2.0000000000000001E-4</v>
      </c>
      <c r="M12" s="42">
        <v>3.0000000000000003E-4</v>
      </c>
      <c r="N12" s="45">
        <v>1</v>
      </c>
      <c r="O12" s="71">
        <f t="shared" si="0"/>
        <v>5.0000000000000001E-4</v>
      </c>
      <c r="P12" s="65"/>
      <c r="Q12" s="31"/>
    </row>
    <row r="13" spans="2:17" ht="14.25" customHeight="1">
      <c r="B13" s="8"/>
      <c r="C13" s="46" t="s">
        <v>41</v>
      </c>
      <c r="D13" s="24">
        <v>50</v>
      </c>
      <c r="E13" s="17"/>
      <c r="F13" s="18"/>
      <c r="H13" s="1">
        <v>10</v>
      </c>
      <c r="I13" s="2" t="s">
        <v>42</v>
      </c>
      <c r="J13" s="27" t="s">
        <v>43</v>
      </c>
      <c r="K13" s="27" t="s">
        <v>3</v>
      </c>
      <c r="L13" s="42">
        <v>1E-4</v>
      </c>
      <c r="M13" s="42">
        <v>1E-4</v>
      </c>
      <c r="N13" s="45">
        <v>2</v>
      </c>
      <c r="O13" s="71">
        <f t="shared" si="0"/>
        <v>4.0000000000000002E-4</v>
      </c>
      <c r="P13" s="65"/>
      <c r="Q13" s="31"/>
    </row>
    <row r="14" spans="2:17" ht="14.25" customHeight="1">
      <c r="B14" s="8"/>
      <c r="C14" s="46" t="s">
        <v>44</v>
      </c>
      <c r="D14" s="24">
        <v>100</v>
      </c>
      <c r="E14" s="17"/>
      <c r="F14" s="18"/>
      <c r="H14" s="1">
        <v>11</v>
      </c>
      <c r="I14" s="2" t="s">
        <v>45</v>
      </c>
      <c r="J14" s="27" t="s">
        <v>46</v>
      </c>
      <c r="K14" s="27" t="s">
        <v>3</v>
      </c>
      <c r="L14" s="42">
        <v>1E-4</v>
      </c>
      <c r="M14" s="42">
        <v>2.0000000000000001E-4</v>
      </c>
      <c r="N14" s="45">
        <v>100</v>
      </c>
      <c r="O14" s="71">
        <f t="shared" si="0"/>
        <v>3.0000000000000002E-2</v>
      </c>
      <c r="P14" s="65"/>
      <c r="Q14" s="31"/>
    </row>
    <row r="15" spans="2:17" ht="14.25" customHeight="1">
      <c r="B15" s="8"/>
      <c r="C15" s="46" t="s">
        <v>47</v>
      </c>
      <c r="D15" s="24">
        <v>300</v>
      </c>
      <c r="E15" s="17"/>
      <c r="F15" s="18"/>
      <c r="H15" s="1">
        <v>12</v>
      </c>
      <c r="I15" s="2" t="s">
        <v>48</v>
      </c>
      <c r="J15" s="27" t="s">
        <v>49</v>
      </c>
      <c r="K15" s="27" t="s">
        <v>3</v>
      </c>
      <c r="L15" s="42">
        <v>2.0000000000000001E-4</v>
      </c>
      <c r="M15" s="42">
        <v>2.0000000000000001E-4</v>
      </c>
      <c r="N15" s="45">
        <v>10</v>
      </c>
      <c r="O15" s="71">
        <f t="shared" si="0"/>
        <v>4.0000000000000001E-3</v>
      </c>
      <c r="P15" s="65"/>
    </row>
    <row r="16" spans="2:17" ht="14.25" customHeight="1">
      <c r="B16" s="8"/>
      <c r="C16" s="46" t="s">
        <v>50</v>
      </c>
      <c r="D16" s="24">
        <v>5</v>
      </c>
      <c r="E16" s="17"/>
      <c r="F16" s="18"/>
      <c r="H16" s="1">
        <v>13</v>
      </c>
      <c r="I16" s="2" t="s">
        <v>51</v>
      </c>
      <c r="J16" s="27" t="s">
        <v>52</v>
      </c>
      <c r="K16" s="27" t="s">
        <v>3</v>
      </c>
      <c r="L16" s="42">
        <v>1E-4</v>
      </c>
      <c r="M16" s="42">
        <v>3.9999999999999996E-4</v>
      </c>
      <c r="N16" s="45">
        <v>10</v>
      </c>
      <c r="O16" s="71">
        <f t="shared" si="0"/>
        <v>5.0000000000000001E-3</v>
      </c>
      <c r="P16" s="65"/>
    </row>
    <row r="17" spans="2:17" ht="14.25" customHeight="1">
      <c r="B17" s="8"/>
      <c r="C17" s="46" t="s">
        <v>53</v>
      </c>
      <c r="D17" s="67">
        <v>10</v>
      </c>
      <c r="E17" s="17"/>
      <c r="F17" s="18"/>
      <c r="H17" s="1">
        <v>14</v>
      </c>
      <c r="I17" s="2" t="s">
        <v>54</v>
      </c>
      <c r="J17" s="27" t="s">
        <v>55</v>
      </c>
      <c r="K17" s="27" t="s">
        <v>3</v>
      </c>
      <c r="L17" s="42">
        <v>1E-4</v>
      </c>
      <c r="M17" s="42">
        <v>2.0000000000000001E-4</v>
      </c>
      <c r="N17" s="48">
        <v>5</v>
      </c>
      <c r="O17" s="71">
        <f t="shared" si="0"/>
        <v>1.5E-3</v>
      </c>
      <c r="P17" s="65"/>
    </row>
    <row r="18" spans="2:17" ht="14.25" customHeight="1">
      <c r="B18" s="8"/>
      <c r="C18" s="46" t="s">
        <v>56</v>
      </c>
      <c r="D18" s="25">
        <v>10000</v>
      </c>
      <c r="E18" s="20"/>
      <c r="F18" s="18"/>
      <c r="H18" s="1">
        <v>15</v>
      </c>
      <c r="I18" s="2" t="s">
        <v>57</v>
      </c>
      <c r="J18" s="27" t="s">
        <v>58</v>
      </c>
      <c r="K18" s="27" t="s">
        <v>3</v>
      </c>
      <c r="L18" s="42">
        <v>1E-4</v>
      </c>
      <c r="M18" s="42">
        <v>4.0000000000000002E-4</v>
      </c>
      <c r="N18" s="47">
        <f>(($D$28+($D$30*$D$17))*$D$32)/$D$17/12</f>
        <v>2500</v>
      </c>
      <c r="O18" s="71">
        <f t="shared" si="0"/>
        <v>1.25</v>
      </c>
      <c r="P18" s="65"/>
    </row>
    <row r="19" spans="2:17" ht="14.25" customHeight="1">
      <c r="B19" s="8"/>
      <c r="C19" s="46" t="s">
        <v>59</v>
      </c>
      <c r="D19" s="24">
        <v>5</v>
      </c>
      <c r="E19" s="17"/>
      <c r="F19" s="18"/>
      <c r="H19" s="1">
        <v>16</v>
      </c>
      <c r="I19" s="2" t="s">
        <v>60</v>
      </c>
      <c r="J19" s="27" t="s">
        <v>61</v>
      </c>
      <c r="K19" s="27" t="s">
        <v>3</v>
      </c>
      <c r="L19" s="42">
        <v>1E-4</v>
      </c>
      <c r="M19" s="42">
        <v>5.0000000000000001E-4</v>
      </c>
      <c r="N19" s="47">
        <f>N18*$D$29</f>
        <v>25000</v>
      </c>
      <c r="O19" s="71">
        <f t="shared" si="0"/>
        <v>15.000000000000002</v>
      </c>
      <c r="P19" s="65"/>
    </row>
    <row r="20" spans="2:17" ht="14.25" customHeight="1">
      <c r="B20" s="8"/>
      <c r="C20" s="46" t="s">
        <v>62</v>
      </c>
      <c r="D20" s="24">
        <v>5000</v>
      </c>
      <c r="E20" s="17"/>
      <c r="F20" s="11"/>
      <c r="H20" s="1">
        <v>17</v>
      </c>
      <c r="I20" s="2" t="s">
        <v>63</v>
      </c>
      <c r="J20" s="27" t="s">
        <v>64</v>
      </c>
      <c r="K20" s="27" t="s">
        <v>3</v>
      </c>
      <c r="L20" s="42">
        <v>1E-4</v>
      </c>
      <c r="M20" s="42">
        <v>2.9999999999999997E-4</v>
      </c>
      <c r="N20" s="47">
        <f>N19</f>
        <v>25000</v>
      </c>
      <c r="O20" s="71">
        <f t="shared" si="0"/>
        <v>10</v>
      </c>
      <c r="P20" s="65"/>
    </row>
    <row r="21" spans="2:17" ht="14.25" customHeight="1">
      <c r="B21" s="8"/>
      <c r="C21" s="46" t="s">
        <v>65</v>
      </c>
      <c r="D21" s="24">
        <v>3000</v>
      </c>
      <c r="E21" s="17"/>
      <c r="F21" s="18"/>
      <c r="H21" s="1">
        <v>18</v>
      </c>
      <c r="I21" s="2" t="s">
        <v>66</v>
      </c>
      <c r="J21" s="27" t="s">
        <v>67</v>
      </c>
      <c r="K21" s="27" t="s">
        <v>3</v>
      </c>
      <c r="L21" s="42">
        <v>1E-4</v>
      </c>
      <c r="M21" s="42">
        <v>3.0000000000000003E-4</v>
      </c>
      <c r="N21" s="45">
        <v>10000</v>
      </c>
      <c r="O21" s="71">
        <f t="shared" si="0"/>
        <v>4</v>
      </c>
      <c r="P21" s="65"/>
    </row>
    <row r="22" spans="2:17" ht="14.25" customHeight="1">
      <c r="B22" s="8"/>
      <c r="C22" s="46" t="s">
        <v>68</v>
      </c>
      <c r="D22" s="24">
        <v>1</v>
      </c>
      <c r="E22" s="17"/>
      <c r="F22" s="18"/>
      <c r="H22" s="1">
        <v>19</v>
      </c>
      <c r="I22" s="2" t="s">
        <v>69</v>
      </c>
      <c r="J22" s="27" t="s">
        <v>70</v>
      </c>
      <c r="K22" s="27" t="s">
        <v>3</v>
      </c>
      <c r="L22" s="42">
        <v>2.0000000000000001E-4</v>
      </c>
      <c r="M22" s="42">
        <v>3.9999999999999996E-4</v>
      </c>
      <c r="N22" s="45">
        <f>N21*4</f>
        <v>40000</v>
      </c>
      <c r="O22" s="71">
        <f t="shared" si="0"/>
        <v>23.999999999999996</v>
      </c>
      <c r="P22" s="65"/>
    </row>
    <row r="23" spans="2:17" ht="14.25" customHeight="1">
      <c r="B23" s="8"/>
      <c r="C23" s="46" t="s">
        <v>71</v>
      </c>
      <c r="D23" s="24">
        <v>200</v>
      </c>
      <c r="E23" s="17"/>
      <c r="F23" s="18"/>
      <c r="H23" s="1">
        <v>20</v>
      </c>
      <c r="I23" s="2" t="s">
        <v>270</v>
      </c>
      <c r="J23" s="27" t="s">
        <v>271</v>
      </c>
      <c r="K23" s="27" t="s">
        <v>3</v>
      </c>
      <c r="L23" s="42">
        <v>2.0000000000000001E-4</v>
      </c>
      <c r="M23" s="42">
        <v>2.0000000000000001E-4</v>
      </c>
      <c r="N23" s="82">
        <f>N51*($D$11)*2</f>
        <v>18000000</v>
      </c>
      <c r="O23" s="72">
        <f t="shared" si="0"/>
        <v>7200</v>
      </c>
      <c r="P23" s="65"/>
    </row>
    <row r="24" spans="2:17" ht="14.25" customHeight="1">
      <c r="B24" s="8"/>
      <c r="C24" s="70" t="s">
        <v>304</v>
      </c>
      <c r="D24" s="69">
        <v>1</v>
      </c>
      <c r="E24" s="17" t="s">
        <v>303</v>
      </c>
      <c r="F24" s="18"/>
      <c r="H24" s="76">
        <v>21</v>
      </c>
      <c r="I24" s="77" t="s">
        <v>364</v>
      </c>
      <c r="J24" s="78" t="s">
        <v>365</v>
      </c>
      <c r="K24" s="78" t="s">
        <v>267</v>
      </c>
      <c r="L24" s="79">
        <v>2.0000000000000001E-4</v>
      </c>
      <c r="M24" s="79">
        <v>2.0000000000000001E-4</v>
      </c>
      <c r="N24" s="80">
        <v>0</v>
      </c>
      <c r="O24" s="81">
        <f t="shared" si="0"/>
        <v>0</v>
      </c>
      <c r="P24" s="65"/>
    </row>
    <row r="25" spans="2:17" ht="14.25" customHeight="1">
      <c r="B25" s="8"/>
      <c r="C25" s="70" t="s">
        <v>334</v>
      </c>
      <c r="D25" s="24">
        <v>4</v>
      </c>
      <c r="E25" s="17" t="s">
        <v>335</v>
      </c>
      <c r="F25" s="18"/>
      <c r="H25" s="1">
        <v>22</v>
      </c>
      <c r="I25" s="2" t="s">
        <v>273</v>
      </c>
      <c r="J25" s="27" t="s">
        <v>272</v>
      </c>
      <c r="K25" s="27" t="s">
        <v>3</v>
      </c>
      <c r="L25" s="42">
        <v>2.0000000000000001E-4</v>
      </c>
      <c r="M25" s="42">
        <v>2.0000000000000001E-4</v>
      </c>
      <c r="N25" s="82">
        <f>N52*($D$11)*2</f>
        <v>18720000</v>
      </c>
      <c r="O25" s="72">
        <f t="shared" ref="O25" si="1">(L25+M25)*N25</f>
        <v>7488</v>
      </c>
      <c r="P25" s="65"/>
    </row>
    <row r="26" spans="2:17" ht="14.25" customHeight="1">
      <c r="B26" s="8"/>
      <c r="E26" s="17"/>
      <c r="F26" s="18"/>
      <c r="H26" s="1">
        <v>23</v>
      </c>
      <c r="I26" s="2" t="s">
        <v>72</v>
      </c>
      <c r="J26" s="27" t="s">
        <v>73</v>
      </c>
      <c r="K26" s="27" t="s">
        <v>3</v>
      </c>
      <c r="L26" s="42">
        <v>2.0000000000000001E-4</v>
      </c>
      <c r="M26" s="42">
        <v>2.0000000000000001E-4</v>
      </c>
      <c r="N26" s="45">
        <v>30</v>
      </c>
      <c r="O26" s="71">
        <f t="shared" ref="O26:O72" si="2">(L26+M26)*N26</f>
        <v>1.2E-2</v>
      </c>
      <c r="P26" s="65"/>
    </row>
    <row r="27" spans="2:17" ht="14.25" customHeight="1">
      <c r="B27" s="8"/>
      <c r="C27" s="28" t="s">
        <v>76</v>
      </c>
      <c r="D27" s="23"/>
      <c r="E27" s="9"/>
      <c r="F27" s="11"/>
      <c r="H27" s="1">
        <v>24</v>
      </c>
      <c r="I27" s="2" t="s">
        <v>74</v>
      </c>
      <c r="J27" s="27" t="s">
        <v>75</v>
      </c>
      <c r="K27" s="27" t="s">
        <v>3</v>
      </c>
      <c r="L27" s="42">
        <v>2.0000000000000001E-4</v>
      </c>
      <c r="M27" s="42">
        <v>3.9999999999999996E-4</v>
      </c>
      <c r="N27" s="45">
        <v>30</v>
      </c>
      <c r="O27" s="71">
        <f t="shared" si="2"/>
        <v>1.7999999999999999E-2</v>
      </c>
      <c r="P27" s="65"/>
      <c r="Q27" s="64"/>
    </row>
    <row r="28" spans="2:17" ht="14.25" customHeight="1">
      <c r="B28" s="8"/>
      <c r="C28" s="46" t="s">
        <v>79</v>
      </c>
      <c r="D28" s="49">
        <v>3000</v>
      </c>
      <c r="E28" s="17"/>
      <c r="F28" s="18"/>
      <c r="H28" s="1">
        <v>25</v>
      </c>
      <c r="I28" s="2" t="s">
        <v>77</v>
      </c>
      <c r="J28" s="27" t="s">
        <v>78</v>
      </c>
      <c r="K28" s="27" t="s">
        <v>3</v>
      </c>
      <c r="L28" s="42">
        <v>2.0000000000000001E-4</v>
      </c>
      <c r="M28" s="42">
        <v>5.0000000000000001E-4</v>
      </c>
      <c r="N28" s="47">
        <f>(($D$10+$D$31)*$D$17)*2</f>
        <v>12000</v>
      </c>
      <c r="O28" s="71">
        <f t="shared" si="2"/>
        <v>8.4</v>
      </c>
      <c r="P28" s="65"/>
    </row>
    <row r="29" spans="2:17" ht="14.25" customHeight="1">
      <c r="B29" s="8"/>
      <c r="C29" s="46" t="s">
        <v>82</v>
      </c>
      <c r="D29" s="50">
        <v>10</v>
      </c>
      <c r="E29" s="17"/>
      <c r="F29" s="18"/>
      <c r="H29" s="1">
        <v>26</v>
      </c>
      <c r="I29" s="2" t="s">
        <v>80</v>
      </c>
      <c r="J29" s="27" t="s">
        <v>81</v>
      </c>
      <c r="K29" s="27" t="s">
        <v>3</v>
      </c>
      <c r="L29" s="42">
        <v>1E-4</v>
      </c>
      <c r="M29" s="42">
        <v>5.0000000000000001E-4</v>
      </c>
      <c r="N29" s="47">
        <f>$D$18*$D$19*12</f>
        <v>600000</v>
      </c>
      <c r="O29" s="71">
        <f t="shared" si="2"/>
        <v>360.00000000000006</v>
      </c>
      <c r="P29" s="65"/>
    </row>
    <row r="30" spans="2:17" ht="14.25" customHeight="1">
      <c r="B30" s="8"/>
      <c r="C30" s="52" t="s">
        <v>85</v>
      </c>
      <c r="D30" s="53">
        <v>200</v>
      </c>
      <c r="E30" s="17"/>
      <c r="F30" s="18"/>
      <c r="H30" s="1">
        <v>27</v>
      </c>
      <c r="I30" s="2" t="s">
        <v>83</v>
      </c>
      <c r="J30" s="27" t="s">
        <v>84</v>
      </c>
      <c r="K30" s="27" t="s">
        <v>3</v>
      </c>
      <c r="L30" s="42">
        <v>1E-4</v>
      </c>
      <c r="M30" s="42">
        <v>6.0000000000000006E-4</v>
      </c>
      <c r="N30" s="51">
        <f>N29*$D$11</f>
        <v>1800000</v>
      </c>
      <c r="O30" s="71">
        <f t="shared" si="2"/>
        <v>1260.0000000000002</v>
      </c>
      <c r="P30" s="65"/>
    </row>
    <row r="31" spans="2:17" ht="14.25" customHeight="1">
      <c r="B31" s="8"/>
      <c r="C31" s="52" t="s">
        <v>88</v>
      </c>
      <c r="D31" s="53">
        <v>100</v>
      </c>
      <c r="E31" s="17"/>
      <c r="F31" s="18"/>
      <c r="H31" s="1">
        <v>28</v>
      </c>
      <c r="I31" s="2" t="s">
        <v>86</v>
      </c>
      <c r="J31" s="27" t="s">
        <v>87</v>
      </c>
      <c r="K31" s="27" t="s">
        <v>3</v>
      </c>
      <c r="L31" s="42">
        <v>1E-4</v>
      </c>
      <c r="M31" s="42">
        <v>2.0000000000000001E-4</v>
      </c>
      <c r="N31" s="45">
        <v>20</v>
      </c>
      <c r="O31" s="71">
        <f t="shared" si="2"/>
        <v>6.0000000000000001E-3</v>
      </c>
      <c r="P31" s="65"/>
    </row>
    <row r="32" spans="2:17" ht="14.25" customHeight="1">
      <c r="B32" s="8"/>
      <c r="C32" s="46" t="s">
        <v>91</v>
      </c>
      <c r="D32" s="53">
        <v>60</v>
      </c>
      <c r="E32" s="17"/>
      <c r="F32" s="18"/>
      <c r="H32" s="1">
        <v>29</v>
      </c>
      <c r="I32" s="2" t="s">
        <v>89</v>
      </c>
      <c r="J32" s="27" t="s">
        <v>90</v>
      </c>
      <c r="K32" s="27" t="s">
        <v>3</v>
      </c>
      <c r="L32" s="42">
        <v>1E-4</v>
      </c>
      <c r="M32" s="42">
        <v>2.0000000000000001E-4</v>
      </c>
      <c r="N32" s="45">
        <v>10</v>
      </c>
      <c r="O32" s="71">
        <f t="shared" si="2"/>
        <v>3.0000000000000001E-3</v>
      </c>
      <c r="P32" s="65"/>
    </row>
    <row r="33" spans="2:16" ht="14.25" customHeight="1">
      <c r="B33" s="8"/>
      <c r="C33" s="46" t="s">
        <v>94</v>
      </c>
      <c r="D33" s="49">
        <v>1000</v>
      </c>
      <c r="E33" s="17"/>
      <c r="F33" s="18"/>
      <c r="H33" s="1">
        <v>30</v>
      </c>
      <c r="I33" s="2" t="s">
        <v>92</v>
      </c>
      <c r="J33" s="27" t="s">
        <v>93</v>
      </c>
      <c r="K33" s="27" t="s">
        <v>3</v>
      </c>
      <c r="L33" s="42">
        <v>1E-4</v>
      </c>
      <c r="M33" s="42">
        <v>2.0000000000000001E-4</v>
      </c>
      <c r="N33" s="45">
        <v>10</v>
      </c>
      <c r="O33" s="71">
        <f t="shared" si="2"/>
        <v>3.0000000000000001E-3</v>
      </c>
      <c r="P33" s="65"/>
    </row>
    <row r="34" spans="2:16" ht="15" customHeight="1">
      <c r="B34" s="8"/>
      <c r="C34" s="19"/>
      <c r="D34" s="24"/>
      <c r="E34" s="17"/>
      <c r="F34" s="18"/>
      <c r="H34" s="1">
        <v>31</v>
      </c>
      <c r="I34" s="2" t="s">
        <v>95</v>
      </c>
      <c r="J34" s="27" t="s">
        <v>96</v>
      </c>
      <c r="K34" s="27" t="s">
        <v>3</v>
      </c>
      <c r="L34" s="42">
        <v>1E-4</v>
      </c>
      <c r="M34" s="42">
        <v>3.0000000000000003E-4</v>
      </c>
      <c r="N34" s="47">
        <f>$D$28+$D$30*$D$17</f>
        <v>5000</v>
      </c>
      <c r="O34" s="71">
        <f t="shared" si="2"/>
        <v>2</v>
      </c>
      <c r="P34" s="65"/>
    </row>
    <row r="35" spans="2:16" ht="14.25" customHeight="1">
      <c r="B35" s="8"/>
      <c r="E35" s="17"/>
      <c r="F35" s="18"/>
      <c r="H35" s="1">
        <v>32</v>
      </c>
      <c r="I35" s="2" t="s">
        <v>97</v>
      </c>
      <c r="J35" s="27" t="s">
        <v>98</v>
      </c>
      <c r="K35" s="27" t="s">
        <v>3</v>
      </c>
      <c r="L35" s="42">
        <v>1E-4</v>
      </c>
      <c r="M35" s="42">
        <v>5.0000000000000001E-4</v>
      </c>
      <c r="N35" s="47">
        <f>($D$30*2)+($D$31*2)</f>
        <v>600</v>
      </c>
      <c r="O35" s="71">
        <f t="shared" si="2"/>
        <v>0.36000000000000004</v>
      </c>
      <c r="P35" s="65"/>
    </row>
    <row r="36" spans="2:16" ht="14.25" customHeight="1">
      <c r="B36" s="8"/>
      <c r="C36" s="28" t="s">
        <v>239</v>
      </c>
      <c r="D36" s="23"/>
      <c r="E36" s="17"/>
      <c r="F36" s="18"/>
      <c r="H36" s="1">
        <v>33</v>
      </c>
      <c r="I36" s="2" t="s">
        <v>99</v>
      </c>
      <c r="J36" s="27" t="s">
        <v>100</v>
      </c>
      <c r="K36" s="27" t="s">
        <v>3</v>
      </c>
      <c r="L36" s="42">
        <v>2.0000000000000001E-4</v>
      </c>
      <c r="M36" s="42">
        <v>2.0000000000000001E-4</v>
      </c>
      <c r="N36" s="45">
        <v>10</v>
      </c>
      <c r="O36" s="71">
        <f t="shared" si="2"/>
        <v>4.0000000000000001E-3</v>
      </c>
      <c r="P36" s="65"/>
    </row>
    <row r="37" spans="2:16" ht="14.25" customHeight="1">
      <c r="B37" s="8"/>
      <c r="C37" s="46" t="s">
        <v>263</v>
      </c>
      <c r="D37" s="49">
        <v>1</v>
      </c>
      <c r="E37" s="17"/>
      <c r="F37" s="18"/>
      <c r="H37" s="1">
        <v>34</v>
      </c>
      <c r="I37" s="2" t="s">
        <v>102</v>
      </c>
      <c r="J37" s="27" t="s">
        <v>103</v>
      </c>
      <c r="K37" s="27" t="s">
        <v>3</v>
      </c>
      <c r="L37" s="42">
        <v>2.0000000000000001E-4</v>
      </c>
      <c r="M37" s="42">
        <v>2.0000000000000001E-4</v>
      </c>
      <c r="N37" s="45">
        <v>10</v>
      </c>
      <c r="O37" s="71">
        <f t="shared" si="2"/>
        <v>4.0000000000000001E-3</v>
      </c>
      <c r="P37" s="65"/>
    </row>
    <row r="38" spans="2:16" ht="14.25" customHeight="1">
      <c r="B38" s="8"/>
      <c r="C38" s="46" t="s">
        <v>259</v>
      </c>
      <c r="D38" s="50">
        <v>1300</v>
      </c>
      <c r="E38" s="17"/>
      <c r="F38" s="18"/>
      <c r="H38" s="1">
        <v>35</v>
      </c>
      <c r="I38" s="2" t="s">
        <v>105</v>
      </c>
      <c r="J38" s="27" t="s">
        <v>106</v>
      </c>
      <c r="K38" s="27" t="s">
        <v>3</v>
      </c>
      <c r="L38" s="42">
        <v>1E-4</v>
      </c>
      <c r="M38" s="42">
        <v>3.9999999999999996E-4</v>
      </c>
      <c r="N38" s="82">
        <f>N34*($D$11)</f>
        <v>15000</v>
      </c>
      <c r="O38" s="71">
        <f t="shared" si="2"/>
        <v>7.5</v>
      </c>
      <c r="P38" s="65"/>
    </row>
    <row r="39" spans="2:16" ht="14.25" customHeight="1">
      <c r="B39" s="8"/>
      <c r="C39" s="46" t="s">
        <v>260</v>
      </c>
      <c r="D39" s="50">
        <v>500</v>
      </c>
      <c r="E39" s="17"/>
      <c r="F39" s="18"/>
      <c r="H39" s="1">
        <v>36</v>
      </c>
      <c r="I39" s="2" t="s">
        <v>107</v>
      </c>
      <c r="J39" s="27" t="s">
        <v>108</v>
      </c>
      <c r="K39" s="27" t="s">
        <v>3</v>
      </c>
      <c r="L39" s="42">
        <v>1E-4</v>
      </c>
      <c r="M39" s="42">
        <v>3.0000000000000003E-4</v>
      </c>
      <c r="N39" s="82">
        <f>(N35*($D$11))</f>
        <v>1800</v>
      </c>
      <c r="O39" s="71">
        <f t="shared" si="2"/>
        <v>0.72000000000000008</v>
      </c>
      <c r="P39" s="65"/>
    </row>
    <row r="40" spans="2:16" ht="14.25" customHeight="1">
      <c r="B40" s="8"/>
      <c r="C40" s="52" t="s">
        <v>261</v>
      </c>
      <c r="D40" s="53">
        <v>100</v>
      </c>
      <c r="E40" s="17"/>
      <c r="F40" s="18"/>
      <c r="H40" s="1">
        <v>37</v>
      </c>
      <c r="I40" s="2" t="s">
        <v>109</v>
      </c>
      <c r="J40" s="27" t="s">
        <v>110</v>
      </c>
      <c r="K40" s="27" t="s">
        <v>3</v>
      </c>
      <c r="L40" s="42">
        <v>1E-4</v>
      </c>
      <c r="M40" s="42">
        <v>3.0000000000000003E-4</v>
      </c>
      <c r="N40" s="82">
        <f>N41*($D$11)</f>
        <v>21000</v>
      </c>
      <c r="O40" s="71">
        <f t="shared" si="2"/>
        <v>8.4</v>
      </c>
      <c r="P40" s="65"/>
    </row>
    <row r="41" spans="2:16" ht="14.25" customHeight="1">
      <c r="B41" s="8"/>
      <c r="C41" s="52" t="s">
        <v>262</v>
      </c>
      <c r="D41" s="49">
        <v>700</v>
      </c>
      <c r="E41" s="9"/>
      <c r="F41" s="11"/>
      <c r="H41" s="1">
        <v>38</v>
      </c>
      <c r="I41" s="2" t="s">
        <v>111</v>
      </c>
      <c r="J41" s="27" t="s">
        <v>112</v>
      </c>
      <c r="K41" s="27" t="s">
        <v>3</v>
      </c>
      <c r="L41" s="42">
        <v>1E-4</v>
      </c>
      <c r="M41" s="42">
        <v>3.9999999999999996E-4</v>
      </c>
      <c r="N41" s="47">
        <f>N34+($D$31*$D$17*2)</f>
        <v>7000</v>
      </c>
      <c r="O41" s="71">
        <f t="shared" si="2"/>
        <v>3.5</v>
      </c>
      <c r="P41" s="65"/>
    </row>
    <row r="42" spans="2:16" ht="14.25" customHeight="1">
      <c r="B42" s="8"/>
      <c r="C42" s="46" t="s">
        <v>268</v>
      </c>
      <c r="D42" s="53">
        <v>500</v>
      </c>
      <c r="E42" s="9"/>
      <c r="F42" s="11"/>
      <c r="H42" s="1">
        <v>39</v>
      </c>
      <c r="I42" s="2" t="s">
        <v>113</v>
      </c>
      <c r="J42" s="27" t="s">
        <v>114</v>
      </c>
      <c r="K42" s="27" t="s">
        <v>3</v>
      </c>
      <c r="L42" s="42">
        <v>1E-4</v>
      </c>
      <c r="M42" s="42">
        <v>1E-4</v>
      </c>
      <c r="N42" s="45">
        <v>100</v>
      </c>
      <c r="O42" s="71">
        <f t="shared" si="2"/>
        <v>0.02</v>
      </c>
      <c r="P42" s="65"/>
    </row>
    <row r="43" spans="2:16" ht="14.25" customHeight="1">
      <c r="B43" s="8"/>
      <c r="C43" s="46" t="s">
        <v>311</v>
      </c>
      <c r="D43" s="69">
        <v>1</v>
      </c>
      <c r="E43" s="17" t="s">
        <v>310</v>
      </c>
      <c r="F43" s="11"/>
      <c r="H43" s="1">
        <v>40</v>
      </c>
      <c r="I43" s="2" t="s">
        <v>115</v>
      </c>
      <c r="J43" s="27" t="s">
        <v>116</v>
      </c>
      <c r="K43" s="27" t="s">
        <v>3</v>
      </c>
      <c r="L43" s="42">
        <v>1E-4</v>
      </c>
      <c r="M43" s="42">
        <v>2.0000000000000001E-4</v>
      </c>
      <c r="N43" s="45">
        <v>10</v>
      </c>
      <c r="O43" s="71">
        <f t="shared" si="2"/>
        <v>3.0000000000000001E-3</v>
      </c>
      <c r="P43" s="65"/>
    </row>
    <row r="44" spans="2:16" ht="14.25" customHeight="1">
      <c r="B44" s="32"/>
      <c r="F44" s="33"/>
      <c r="H44" s="1">
        <v>41</v>
      </c>
      <c r="I44" s="2" t="s">
        <v>117</v>
      </c>
      <c r="J44" s="27" t="s">
        <v>118</v>
      </c>
      <c r="K44" s="27" t="s">
        <v>3</v>
      </c>
      <c r="L44" s="42">
        <v>2.0000000000000001E-4</v>
      </c>
      <c r="M44" s="42">
        <v>2.0000000000000001E-4</v>
      </c>
      <c r="N44" s="45">
        <v>10</v>
      </c>
      <c r="O44" s="71">
        <f t="shared" si="2"/>
        <v>4.0000000000000001E-3</v>
      </c>
      <c r="P44" s="65"/>
    </row>
    <row r="45" spans="2:16" ht="14.25" customHeight="1">
      <c r="B45" s="32"/>
      <c r="F45" s="33"/>
      <c r="H45" s="1">
        <v>42</v>
      </c>
      <c r="I45" s="2" t="s">
        <v>119</v>
      </c>
      <c r="J45" s="27" t="s">
        <v>120</v>
      </c>
      <c r="K45" s="27" t="s">
        <v>3</v>
      </c>
      <c r="L45" s="42">
        <v>2.0000000000000001E-4</v>
      </c>
      <c r="M45" s="42">
        <v>2.0000000000000001E-4</v>
      </c>
      <c r="N45" s="47">
        <f>$D$12*$D$17*12*2*$D$11</f>
        <v>72000</v>
      </c>
      <c r="O45" s="71">
        <f t="shared" si="2"/>
        <v>28.8</v>
      </c>
      <c r="P45" s="65"/>
    </row>
    <row r="46" spans="2:16" ht="14.25" customHeight="1">
      <c r="B46" s="32"/>
      <c r="F46" s="33"/>
      <c r="H46" s="1">
        <v>43</v>
      </c>
      <c r="I46" s="2" t="s">
        <v>237</v>
      </c>
      <c r="J46" s="27" t="s">
        <v>238</v>
      </c>
      <c r="K46" s="27" t="s">
        <v>3</v>
      </c>
      <c r="L46" s="42">
        <v>2.0000000000000001E-4</v>
      </c>
      <c r="M46" s="42">
        <v>2.0000000000000001E-4</v>
      </c>
      <c r="N46" s="47">
        <f>$D$12*$D$17*12*2*$D$11/12</f>
        <v>6000</v>
      </c>
      <c r="O46" s="71">
        <f t="shared" si="2"/>
        <v>2.4</v>
      </c>
      <c r="P46" s="65"/>
    </row>
    <row r="47" spans="2:16" ht="14.25" customHeight="1">
      <c r="B47" s="32"/>
      <c r="F47" s="33"/>
      <c r="H47" s="1">
        <v>44</v>
      </c>
      <c r="I47" s="2" t="s">
        <v>121</v>
      </c>
      <c r="J47" s="27" t="s">
        <v>122</v>
      </c>
      <c r="K47" s="27" t="s">
        <v>3</v>
      </c>
      <c r="L47" s="42">
        <v>1E-4</v>
      </c>
      <c r="M47" s="42">
        <v>2.0000000000000001E-4</v>
      </c>
      <c r="N47" s="47">
        <f>N43*$D$13</f>
        <v>500</v>
      </c>
      <c r="O47" s="71">
        <f t="shared" si="2"/>
        <v>0.15000000000000002</v>
      </c>
      <c r="P47" s="65"/>
    </row>
    <row r="48" spans="2:16" ht="14.25" customHeight="1">
      <c r="B48" s="32"/>
      <c r="C48" s="28" t="s">
        <v>101</v>
      </c>
      <c r="F48" s="33"/>
      <c r="H48" s="1">
        <v>45</v>
      </c>
      <c r="I48" s="2" t="s">
        <v>123</v>
      </c>
      <c r="J48" s="27" t="s">
        <v>124</v>
      </c>
      <c r="K48" s="27" t="s">
        <v>3</v>
      </c>
      <c r="L48" s="42">
        <v>2.0000000000000001E-4</v>
      </c>
      <c r="M48" s="42">
        <v>2.0000000000000001E-4</v>
      </c>
      <c r="N48" s="47">
        <f>$D$21*12*$D$17</f>
        <v>360000</v>
      </c>
      <c r="O48" s="71">
        <f t="shared" si="2"/>
        <v>144</v>
      </c>
      <c r="P48" s="65"/>
    </row>
    <row r="49" spans="2:16" ht="14.25" customHeight="1">
      <c r="B49" s="32"/>
      <c r="C49" s="19" t="s">
        <v>104</v>
      </c>
      <c r="D49" s="24">
        <v>1</v>
      </c>
      <c r="F49" s="33"/>
      <c r="H49" s="1">
        <v>46</v>
      </c>
      <c r="I49" s="2" t="s">
        <v>125</v>
      </c>
      <c r="J49" s="27" t="s">
        <v>126</v>
      </c>
      <c r="K49" s="27" t="s">
        <v>3</v>
      </c>
      <c r="L49" s="42">
        <v>2.0000000000000001E-4</v>
      </c>
      <c r="M49" s="42">
        <v>3.0000000000000003E-4</v>
      </c>
      <c r="N49" s="47">
        <f>N96</f>
        <v>50000</v>
      </c>
      <c r="O49" s="71">
        <f t="shared" si="2"/>
        <v>25</v>
      </c>
      <c r="P49" s="65"/>
    </row>
    <row r="50" spans="2:16" ht="14.25" customHeight="1">
      <c r="B50" s="32"/>
      <c r="C50" s="54"/>
      <c r="D50" s="24"/>
      <c r="F50" s="33"/>
      <c r="H50" s="1">
        <v>47</v>
      </c>
      <c r="I50" s="2" t="s">
        <v>127</v>
      </c>
      <c r="J50" s="27" t="s">
        <v>128</v>
      </c>
      <c r="K50" s="27" t="s">
        <v>3</v>
      </c>
      <c r="L50" s="42">
        <v>1E-4</v>
      </c>
      <c r="M50" s="42">
        <v>3.0000000000000003E-4</v>
      </c>
      <c r="N50" s="47">
        <f>($D$30*$D$29*2)+($D$31*$D$29*2)</f>
        <v>6000</v>
      </c>
      <c r="O50" s="72">
        <f t="shared" si="2"/>
        <v>2.4</v>
      </c>
      <c r="P50" s="65"/>
    </row>
    <row r="51" spans="2:16" ht="14.25" customHeight="1">
      <c r="B51" s="32"/>
      <c r="F51" s="33"/>
      <c r="H51" s="1">
        <v>48</v>
      </c>
      <c r="I51" s="2" t="s">
        <v>129</v>
      </c>
      <c r="J51" s="27" t="s">
        <v>130</v>
      </c>
      <c r="K51" s="27" t="s">
        <v>3</v>
      </c>
      <c r="L51" s="42">
        <v>1E-4</v>
      </c>
      <c r="M51" s="42">
        <v>6.9999999999999999E-4</v>
      </c>
      <c r="N51" s="55">
        <f>N49*$D$32</f>
        <v>3000000</v>
      </c>
      <c r="O51" s="72">
        <f t="shared" si="2"/>
        <v>2400</v>
      </c>
      <c r="P51" s="65"/>
    </row>
    <row r="52" spans="2:16" ht="14.25" customHeight="1">
      <c r="B52" s="32"/>
      <c r="F52" s="33"/>
      <c r="H52" s="1">
        <v>49</v>
      </c>
      <c r="I52" s="2" t="s">
        <v>131</v>
      </c>
      <c r="J52" s="27" t="s">
        <v>132</v>
      </c>
      <c r="K52" s="27" t="s">
        <v>3</v>
      </c>
      <c r="L52" s="42">
        <v>2.0000000000000001E-4</v>
      </c>
      <c r="M52" s="42">
        <v>2.0000000000000001E-4</v>
      </c>
      <c r="N52" s="55">
        <f>N51+($D$31*$D$17*2*$D$32)</f>
        <v>3120000</v>
      </c>
      <c r="O52" s="72">
        <f t="shared" si="2"/>
        <v>1248</v>
      </c>
      <c r="P52" s="65"/>
    </row>
    <row r="53" spans="2:16" ht="14.25" customHeight="1">
      <c r="B53" s="32"/>
      <c r="F53" s="33"/>
      <c r="H53" s="1">
        <v>50</v>
      </c>
      <c r="I53" s="2" t="s">
        <v>133</v>
      </c>
      <c r="J53" s="27" t="s">
        <v>134</v>
      </c>
      <c r="K53" s="27" t="s">
        <v>3</v>
      </c>
      <c r="L53" s="42">
        <v>2.0000000000000001E-4</v>
      </c>
      <c r="M53" s="42">
        <v>3.0000000000000003E-4</v>
      </c>
      <c r="N53" s="47">
        <f>N49+($D$31*$D$17*2)</f>
        <v>52000</v>
      </c>
      <c r="O53" s="72">
        <f t="shared" si="2"/>
        <v>26</v>
      </c>
      <c r="P53" s="65"/>
    </row>
    <row r="54" spans="2:16" ht="14.25" customHeight="1">
      <c r="B54" s="32"/>
      <c r="F54" s="33"/>
      <c r="H54" s="1">
        <v>51</v>
      </c>
      <c r="I54" s="2" t="s">
        <v>135</v>
      </c>
      <c r="J54" s="27" t="s">
        <v>136</v>
      </c>
      <c r="K54" s="27" t="s">
        <v>3</v>
      </c>
      <c r="L54" s="42">
        <v>1E-4</v>
      </c>
      <c r="M54" s="42">
        <v>5.0000000000000001E-4</v>
      </c>
      <c r="N54" s="47">
        <f>$D$8+($D$9*$D$17)</f>
        <v>20000</v>
      </c>
      <c r="O54" s="72">
        <f t="shared" si="2"/>
        <v>12.000000000000002</v>
      </c>
      <c r="P54" s="65"/>
    </row>
    <row r="55" spans="2:16" ht="14.25" customHeight="1">
      <c r="B55" s="32"/>
      <c r="C55" s="37" t="s">
        <v>13</v>
      </c>
      <c r="D55" s="23"/>
      <c r="F55" s="33"/>
      <c r="H55" s="1">
        <v>52</v>
      </c>
      <c r="I55" s="2" t="s">
        <v>137</v>
      </c>
      <c r="J55" s="27" t="s">
        <v>138</v>
      </c>
      <c r="K55" s="27" t="s">
        <v>3</v>
      </c>
      <c r="L55" s="42">
        <v>1E-4</v>
      </c>
      <c r="M55" s="42">
        <v>1E-4</v>
      </c>
      <c r="N55" s="45">
        <f>N58*10</f>
        <v>100</v>
      </c>
      <c r="O55" s="71">
        <f t="shared" si="2"/>
        <v>0.02</v>
      </c>
      <c r="P55" s="65"/>
    </row>
    <row r="56" spans="2:16" ht="14.25" customHeight="1">
      <c r="B56" s="32"/>
      <c r="C56" s="19" t="s">
        <v>14</v>
      </c>
      <c r="D56" s="24">
        <v>0</v>
      </c>
      <c r="F56" s="33"/>
      <c r="H56" s="1">
        <v>53</v>
      </c>
      <c r="I56" s="2" t="s">
        <v>139</v>
      </c>
      <c r="J56" s="27" t="s">
        <v>140</v>
      </c>
      <c r="K56" s="27" t="s">
        <v>3</v>
      </c>
      <c r="L56" s="42">
        <v>1E-4</v>
      </c>
      <c r="M56" s="42">
        <v>2.0000000000000001E-4</v>
      </c>
      <c r="N56" s="66">
        <v>100</v>
      </c>
      <c r="O56" s="71">
        <f t="shared" si="2"/>
        <v>3.0000000000000002E-2</v>
      </c>
      <c r="P56" s="65"/>
    </row>
    <row r="57" spans="2:16">
      <c r="B57" s="32"/>
      <c r="F57" s="33"/>
      <c r="H57" s="1">
        <v>54</v>
      </c>
      <c r="I57" s="2" t="s">
        <v>141</v>
      </c>
      <c r="J57" s="27" t="s">
        <v>142</v>
      </c>
      <c r="K57" s="27" t="s">
        <v>3</v>
      </c>
      <c r="L57" s="42">
        <v>2.0000000000000001E-4</v>
      </c>
      <c r="M57" s="42">
        <v>3.0000000000000003E-4</v>
      </c>
      <c r="N57" s="47">
        <f>(N55*$D$23*(1+(($D$10+$D$9)/($D$8+$D$9+$D$10))*$D$17))+(N55*$D$33*(1+(($D$31+$D$30)/($D$28*$D$29+$D$30))*$D$17))</f>
        <v>142433.77483443709</v>
      </c>
      <c r="O57" s="71">
        <f t="shared" si="2"/>
        <v>71.216887417218544</v>
      </c>
      <c r="P57" s="65"/>
    </row>
    <row r="58" spans="2:16" ht="14.25" customHeight="1">
      <c r="B58" s="32"/>
      <c r="F58" s="33"/>
      <c r="H58" s="1">
        <v>55</v>
      </c>
      <c r="I58" s="2" t="s">
        <v>143</v>
      </c>
      <c r="J58" s="27" t="s">
        <v>144</v>
      </c>
      <c r="K58" s="27" t="s">
        <v>3</v>
      </c>
      <c r="L58" s="42">
        <v>1E-4</v>
      </c>
      <c r="M58" s="42">
        <v>2.0000000000000001E-4</v>
      </c>
      <c r="N58" s="66">
        <v>10</v>
      </c>
      <c r="O58" s="71">
        <f t="shared" si="2"/>
        <v>3.0000000000000001E-3</v>
      </c>
      <c r="P58" s="65"/>
    </row>
    <row r="59" spans="2:16" ht="14.25" customHeight="1">
      <c r="B59" s="32"/>
      <c r="F59" s="33"/>
      <c r="H59" s="1">
        <v>56</v>
      </c>
      <c r="I59" s="2" t="s">
        <v>145</v>
      </c>
      <c r="J59" s="27" t="s">
        <v>146</v>
      </c>
      <c r="K59" s="27" t="s">
        <v>3</v>
      </c>
      <c r="L59" s="42">
        <v>1E-4</v>
      </c>
      <c r="M59" s="42">
        <v>2.0000000000000001E-4</v>
      </c>
      <c r="N59" s="66">
        <v>10</v>
      </c>
      <c r="O59" s="71">
        <f t="shared" si="2"/>
        <v>3.0000000000000001E-3</v>
      </c>
      <c r="P59" s="65"/>
    </row>
    <row r="60" spans="2:16" ht="14.25" customHeight="1">
      <c r="B60" s="32"/>
      <c r="F60" s="33"/>
      <c r="H60" s="1">
        <v>57</v>
      </c>
      <c r="I60" s="2" t="s">
        <v>147</v>
      </c>
      <c r="J60" s="27" t="s">
        <v>148</v>
      </c>
      <c r="K60" s="27" t="s">
        <v>3</v>
      </c>
      <c r="L60" s="42">
        <v>1E-4</v>
      </c>
      <c r="M60" s="42">
        <v>6.9999999999999999E-4</v>
      </c>
      <c r="N60" s="47">
        <f>N54*$D$11</f>
        <v>60000</v>
      </c>
      <c r="O60" s="71">
        <f t="shared" si="2"/>
        <v>48</v>
      </c>
      <c r="P60" s="65"/>
    </row>
    <row r="61" spans="2:16" ht="14.25" customHeight="1">
      <c r="B61" s="32"/>
      <c r="F61" s="33"/>
      <c r="H61" s="1">
        <v>58</v>
      </c>
      <c r="I61" s="2" t="s">
        <v>149</v>
      </c>
      <c r="J61" s="27" t="s">
        <v>150</v>
      </c>
      <c r="K61" s="27" t="s">
        <v>3</v>
      </c>
      <c r="L61" s="42">
        <v>1E-4</v>
      </c>
      <c r="M61" s="42">
        <v>2.0000000000000001E-4</v>
      </c>
      <c r="N61" s="47">
        <f>N60*2</f>
        <v>120000</v>
      </c>
      <c r="O61" s="71">
        <f t="shared" si="2"/>
        <v>36</v>
      </c>
      <c r="P61" s="65"/>
    </row>
    <row r="62" spans="2:16" ht="14.25" customHeight="1">
      <c r="B62" s="32"/>
      <c r="F62" s="33"/>
      <c r="H62" s="1">
        <v>59</v>
      </c>
      <c r="I62" s="2" t="s">
        <v>151</v>
      </c>
      <c r="J62" s="27" t="s">
        <v>152</v>
      </c>
      <c r="K62" s="27" t="s">
        <v>3</v>
      </c>
      <c r="L62" s="42">
        <v>1E-4</v>
      </c>
      <c r="M62" s="42">
        <v>6.9999999999999999E-4</v>
      </c>
      <c r="N62" s="47">
        <f>N67*$D$11</f>
        <v>90000</v>
      </c>
      <c r="O62" s="71">
        <f t="shared" si="2"/>
        <v>72</v>
      </c>
      <c r="P62" s="65"/>
    </row>
    <row r="63" spans="2:16" ht="14.25" customHeight="1">
      <c r="B63" s="32"/>
      <c r="F63" s="33"/>
      <c r="H63" s="1">
        <v>60</v>
      </c>
      <c r="I63" s="2" t="s">
        <v>153</v>
      </c>
      <c r="J63" s="27" t="s">
        <v>154</v>
      </c>
      <c r="K63" s="27" t="s">
        <v>3</v>
      </c>
      <c r="L63" s="42">
        <v>1E-4</v>
      </c>
      <c r="M63" s="42">
        <v>6.0000000000000006E-4</v>
      </c>
      <c r="N63" s="47">
        <f>($D$9*2)+($D$10*2)</f>
        <v>2000</v>
      </c>
      <c r="O63" s="71">
        <f t="shared" si="2"/>
        <v>1.4000000000000001</v>
      </c>
      <c r="P63" s="65"/>
    </row>
    <row r="64" spans="2:16" ht="14.25" customHeight="1">
      <c r="B64" s="32"/>
      <c r="F64" s="33"/>
      <c r="H64" s="1">
        <v>61</v>
      </c>
      <c r="I64" s="2" t="s">
        <v>155</v>
      </c>
      <c r="J64" s="27" t="s">
        <v>156</v>
      </c>
      <c r="K64" s="27" t="s">
        <v>3</v>
      </c>
      <c r="L64" s="42">
        <v>1E-4</v>
      </c>
      <c r="M64" s="42">
        <v>6.9999999999999999E-4</v>
      </c>
      <c r="N64" s="47">
        <f>(N63*$D$11)</f>
        <v>6000</v>
      </c>
      <c r="O64" s="71">
        <f t="shared" si="2"/>
        <v>4.8</v>
      </c>
      <c r="P64" s="65"/>
    </row>
    <row r="65" spans="2:16" ht="14.25" customHeight="1">
      <c r="B65" s="32"/>
      <c r="F65" s="33"/>
      <c r="H65" s="1">
        <v>62</v>
      </c>
      <c r="I65" s="2" t="s">
        <v>157</v>
      </c>
      <c r="J65" s="27" t="s">
        <v>158</v>
      </c>
      <c r="K65" s="27" t="s">
        <v>3</v>
      </c>
      <c r="L65" s="42">
        <v>2.0000000000000001E-4</v>
      </c>
      <c r="M65" s="42">
        <v>5.0000000000000001E-4</v>
      </c>
      <c r="N65" s="55">
        <f>N54*$D$14</f>
        <v>2000000</v>
      </c>
      <c r="O65" s="72">
        <f t="shared" si="2"/>
        <v>1400</v>
      </c>
      <c r="P65" s="65"/>
    </row>
    <row r="66" spans="2:16" ht="14.25" customHeight="1" thickBot="1">
      <c r="B66" s="34"/>
      <c r="C66" s="35"/>
      <c r="D66" s="35"/>
      <c r="E66" s="35"/>
      <c r="F66" s="36"/>
      <c r="H66" s="1">
        <v>63</v>
      </c>
      <c r="I66" s="2" t="s">
        <v>159</v>
      </c>
      <c r="J66" s="27" t="s">
        <v>160</v>
      </c>
      <c r="K66" s="27" t="s">
        <v>3</v>
      </c>
      <c r="L66" s="42">
        <v>1E-4</v>
      </c>
      <c r="M66" s="42">
        <v>6.0000000000000006E-4</v>
      </c>
      <c r="N66" s="55">
        <f>N65*$D$11</f>
        <v>6000000</v>
      </c>
      <c r="O66" s="72">
        <f t="shared" si="2"/>
        <v>4200.0000000000009</v>
      </c>
      <c r="P66" s="65"/>
    </row>
    <row r="67" spans="2:16" ht="14.25" customHeight="1">
      <c r="H67" s="1">
        <v>64</v>
      </c>
      <c r="I67" s="2" t="s">
        <v>161</v>
      </c>
      <c r="J67" s="27" t="s">
        <v>162</v>
      </c>
      <c r="K67" s="27" t="s">
        <v>3</v>
      </c>
      <c r="L67" s="42">
        <v>1E-4</v>
      </c>
      <c r="M67" s="42">
        <v>5.0000000000000001E-4</v>
      </c>
      <c r="N67" s="55">
        <f>$D$8+($D$9*$D$17)+($D$10*$D$17*2)</f>
        <v>30000</v>
      </c>
      <c r="O67" s="71">
        <f t="shared" si="2"/>
        <v>18</v>
      </c>
      <c r="P67" s="65"/>
    </row>
    <row r="68" spans="2:16" ht="14.25" customHeight="1">
      <c r="C68" s="20" t="s">
        <v>15</v>
      </c>
      <c r="D68" s="23"/>
      <c r="H68" s="1">
        <v>65</v>
      </c>
      <c r="I68" s="2" t="s">
        <v>163</v>
      </c>
      <c r="J68" s="27" t="s">
        <v>164</v>
      </c>
      <c r="K68" s="27" t="s">
        <v>3</v>
      </c>
      <c r="L68" s="42">
        <v>1E-4</v>
      </c>
      <c r="M68" s="42">
        <v>1E-4</v>
      </c>
      <c r="N68" s="66">
        <v>20</v>
      </c>
      <c r="O68" s="71">
        <f t="shared" si="2"/>
        <v>4.0000000000000001E-3</v>
      </c>
      <c r="P68" s="65"/>
    </row>
    <row r="69" spans="2:16" ht="14.25" customHeight="1">
      <c r="C69" s="22" t="s">
        <v>9</v>
      </c>
      <c r="D69" s="21"/>
      <c r="H69" s="1">
        <v>66</v>
      </c>
      <c r="I69" s="2" t="s">
        <v>165</v>
      </c>
      <c r="J69" s="27" t="s">
        <v>166</v>
      </c>
      <c r="K69" s="27" t="s">
        <v>3</v>
      </c>
      <c r="L69" s="42">
        <v>1E-4</v>
      </c>
      <c r="M69" s="42">
        <v>2.0000000000000001E-4</v>
      </c>
      <c r="N69" s="66">
        <v>20</v>
      </c>
      <c r="O69" s="71">
        <f t="shared" si="2"/>
        <v>6.0000000000000001E-3</v>
      </c>
      <c r="P69" s="65"/>
    </row>
    <row r="70" spans="2:16" ht="14.25" customHeight="1">
      <c r="C70" s="22" t="s">
        <v>169</v>
      </c>
      <c r="D70" s="23"/>
      <c r="H70" s="1">
        <v>67</v>
      </c>
      <c r="I70" s="2" t="s">
        <v>167</v>
      </c>
      <c r="J70" s="27" t="s">
        <v>168</v>
      </c>
      <c r="K70" s="27" t="s">
        <v>3</v>
      </c>
      <c r="L70" s="42">
        <v>1E-4</v>
      </c>
      <c r="M70" s="42">
        <v>2.0000000000000001E-4</v>
      </c>
      <c r="N70" s="55">
        <f>$D$15*$D$16*12</f>
        <v>18000</v>
      </c>
      <c r="O70" s="71">
        <f t="shared" si="2"/>
        <v>5.4</v>
      </c>
      <c r="P70" s="65"/>
    </row>
    <row r="71" spans="2:16" ht="14.25" customHeight="1">
      <c r="C71" s="22"/>
      <c r="D71" s="21"/>
      <c r="H71" s="1">
        <v>68</v>
      </c>
      <c r="I71" s="2" t="s">
        <v>170</v>
      </c>
      <c r="J71" s="27" t="s">
        <v>171</v>
      </c>
      <c r="K71" s="27" t="s">
        <v>3</v>
      </c>
      <c r="L71" s="42">
        <v>1E-4</v>
      </c>
      <c r="M71" s="42">
        <v>2.0000000000000001E-4</v>
      </c>
      <c r="N71" s="55">
        <f>$D$15*$D$16*12</f>
        <v>18000</v>
      </c>
      <c r="O71" s="71">
        <f t="shared" si="2"/>
        <v>5.4</v>
      </c>
      <c r="P71" s="65"/>
    </row>
    <row r="72" spans="2:16" ht="14.25" customHeight="1">
      <c r="C72" s="22" t="s">
        <v>234</v>
      </c>
      <c r="D72" s="23"/>
      <c r="G72" s="65"/>
      <c r="H72" s="1">
        <v>69</v>
      </c>
      <c r="I72" s="2" t="s">
        <v>172</v>
      </c>
      <c r="J72" s="27" t="s">
        <v>173</v>
      </c>
      <c r="K72" s="27" t="s">
        <v>3</v>
      </c>
      <c r="L72" s="42">
        <v>1E-4</v>
      </c>
      <c r="M72" s="42">
        <v>2.0000000000000001E-4</v>
      </c>
      <c r="N72" s="55">
        <f>$D$15*$D$16*12</f>
        <v>18000</v>
      </c>
      <c r="O72" s="71">
        <f t="shared" si="2"/>
        <v>5.4</v>
      </c>
      <c r="P72" s="65"/>
    </row>
    <row r="73" spans="2:16" ht="14.25" customHeight="1">
      <c r="B73" s="65"/>
      <c r="C73" s="22" t="s">
        <v>235</v>
      </c>
      <c r="D73" s="65"/>
      <c r="E73" s="65"/>
      <c r="F73" s="65"/>
      <c r="G73" s="65"/>
      <c r="H73" s="1">
        <v>70</v>
      </c>
      <c r="I73" s="2" t="s">
        <v>174</v>
      </c>
      <c r="J73" s="27" t="s">
        <v>175</v>
      </c>
      <c r="K73" s="27" t="s">
        <v>3</v>
      </c>
      <c r="L73" s="42">
        <v>1E-4</v>
      </c>
      <c r="M73" s="42">
        <v>2.0000000000000001E-4</v>
      </c>
      <c r="N73" s="47">
        <f>$D$15*$D$16*12</f>
        <v>18000</v>
      </c>
      <c r="O73" s="71">
        <f t="shared" ref="O73:O102" si="3">(L73+M73)*N73</f>
        <v>5.4</v>
      </c>
      <c r="P73" s="65"/>
    </row>
    <row r="74" spans="2:16" ht="14.25" customHeight="1">
      <c r="B74" s="65"/>
      <c r="C74" s="22" t="s">
        <v>236</v>
      </c>
      <c r="D74" s="65"/>
      <c r="E74" s="65"/>
      <c r="F74" s="65"/>
      <c r="G74" s="65"/>
      <c r="H74" s="1">
        <v>71</v>
      </c>
      <c r="I74" s="2" t="s">
        <v>176</v>
      </c>
      <c r="J74" s="27" t="s">
        <v>177</v>
      </c>
      <c r="K74" s="27" t="s">
        <v>3</v>
      </c>
      <c r="L74" s="42">
        <v>3.0000000000000003E-4</v>
      </c>
      <c r="M74" s="42">
        <v>3.0000000000000003E-4</v>
      </c>
      <c r="N74" s="47">
        <f>N79*$D$17</f>
        <v>1000</v>
      </c>
      <c r="O74" s="71">
        <f t="shared" si="3"/>
        <v>0.60000000000000009</v>
      </c>
      <c r="P74" s="65"/>
    </row>
    <row r="75" spans="2:16" ht="14.25" customHeight="1">
      <c r="B75" s="65"/>
      <c r="C75" s="65"/>
      <c r="D75" s="65"/>
      <c r="E75" s="65"/>
      <c r="F75" s="65"/>
      <c r="G75" s="65"/>
      <c r="H75" s="1">
        <v>72</v>
      </c>
      <c r="I75" s="2" t="s">
        <v>178</v>
      </c>
      <c r="J75" s="27" t="s">
        <v>179</v>
      </c>
      <c r="K75" s="27" t="s">
        <v>3</v>
      </c>
      <c r="L75" s="42">
        <v>1E-4</v>
      </c>
      <c r="M75" s="42">
        <v>2.0000000000000001E-4</v>
      </c>
      <c r="N75" s="45">
        <v>100</v>
      </c>
      <c r="O75" s="71">
        <f t="shared" si="3"/>
        <v>3.0000000000000002E-2</v>
      </c>
      <c r="P75" s="65"/>
    </row>
    <row r="76" spans="2:16" ht="14.25" customHeight="1">
      <c r="B76" s="65"/>
      <c r="C76" s="22" t="s">
        <v>306</v>
      </c>
      <c r="D76" s="65"/>
      <c r="E76" s="65"/>
      <c r="F76" s="65"/>
      <c r="G76" s="65"/>
      <c r="H76" s="1">
        <v>73</v>
      </c>
      <c r="I76" s="2" t="s">
        <v>180</v>
      </c>
      <c r="J76" s="27" t="s">
        <v>181</v>
      </c>
      <c r="K76" s="27" t="s">
        <v>3</v>
      </c>
      <c r="L76" s="42">
        <v>2.0000000000000001E-4</v>
      </c>
      <c r="M76" s="42">
        <v>3.0000000000000003E-4</v>
      </c>
      <c r="N76" s="45">
        <v>3000</v>
      </c>
      <c r="O76" s="71">
        <f t="shared" si="3"/>
        <v>1.5</v>
      </c>
      <c r="P76" s="65"/>
    </row>
    <row r="77" spans="2:16" ht="14.25" customHeight="1">
      <c r="B77" s="65"/>
      <c r="C77" s="22" t="s">
        <v>307</v>
      </c>
      <c r="D77" s="65"/>
      <c r="E77" s="65"/>
      <c r="F77" s="65"/>
      <c r="G77" s="65"/>
      <c r="H77" s="1">
        <v>74</v>
      </c>
      <c r="I77" s="2" t="s">
        <v>182</v>
      </c>
      <c r="J77" s="27" t="s">
        <v>183</v>
      </c>
      <c r="K77" s="27" t="s">
        <v>3</v>
      </c>
      <c r="L77" s="42">
        <v>2.0000000000000001E-4</v>
      </c>
      <c r="M77" s="42">
        <v>2.0000000000000001E-4</v>
      </c>
      <c r="N77" s="48">
        <v>500</v>
      </c>
      <c r="O77" s="71">
        <f t="shared" si="3"/>
        <v>0.2</v>
      </c>
      <c r="P77" s="65"/>
    </row>
    <row r="78" spans="2:16" ht="14.25" customHeight="1">
      <c r="B78" s="65"/>
      <c r="C78" s="22" t="s">
        <v>309</v>
      </c>
      <c r="D78" s="65"/>
      <c r="E78" s="65"/>
      <c r="F78" s="65"/>
      <c r="G78" s="65"/>
      <c r="H78" s="56">
        <v>75</v>
      </c>
      <c r="I78" s="57" t="s">
        <v>184</v>
      </c>
      <c r="J78" s="58" t="s">
        <v>185</v>
      </c>
      <c r="K78" s="58" t="s">
        <v>3</v>
      </c>
      <c r="L78" s="59"/>
      <c r="M78" s="59"/>
      <c r="N78" s="60">
        <v>0</v>
      </c>
      <c r="O78" s="73">
        <f t="shared" si="3"/>
        <v>0</v>
      </c>
      <c r="P78" s="65"/>
    </row>
    <row r="79" spans="2:16" ht="14.25" customHeight="1">
      <c r="B79" s="65"/>
      <c r="C79" s="68" t="s">
        <v>305</v>
      </c>
      <c r="D79" s="65"/>
      <c r="E79" s="65"/>
      <c r="F79" s="65"/>
      <c r="G79" s="65"/>
      <c r="H79" s="1">
        <v>76</v>
      </c>
      <c r="I79" s="2" t="s">
        <v>186</v>
      </c>
      <c r="J79" s="27" t="s">
        <v>187</v>
      </c>
      <c r="K79" s="27" t="s">
        <v>3</v>
      </c>
      <c r="L79" s="42">
        <v>1E-4</v>
      </c>
      <c r="M79" s="42">
        <v>6.9999999999999999E-4</v>
      </c>
      <c r="N79" s="48">
        <f>N14</f>
        <v>100</v>
      </c>
      <c r="O79" s="71">
        <f t="shared" si="3"/>
        <v>0.08</v>
      </c>
      <c r="P79" s="65"/>
    </row>
    <row r="80" spans="2:16" ht="14.25" customHeight="1">
      <c r="B80" s="65"/>
      <c r="C80" s="22" t="s">
        <v>308</v>
      </c>
      <c r="D80" s="65"/>
      <c r="E80" s="65"/>
      <c r="F80" s="65"/>
      <c r="G80" s="65"/>
      <c r="H80" s="1">
        <v>77</v>
      </c>
      <c r="I80" s="2" t="s">
        <v>188</v>
      </c>
      <c r="J80" s="27" t="s">
        <v>189</v>
      </c>
      <c r="K80" s="27" t="s">
        <v>3</v>
      </c>
      <c r="L80" s="42">
        <v>2.0000000000000001E-4</v>
      </c>
      <c r="M80" s="42">
        <v>3.0000000000000003E-4</v>
      </c>
      <c r="N80" s="48">
        <v>3</v>
      </c>
      <c r="O80" s="71">
        <f t="shared" si="3"/>
        <v>1.5E-3</v>
      </c>
      <c r="P80" s="65"/>
    </row>
    <row r="81" spans="2:16" ht="14.25" customHeight="1">
      <c r="B81" s="65"/>
      <c r="C81" s="65"/>
      <c r="D81" s="65"/>
      <c r="E81" s="65"/>
      <c r="F81" s="65"/>
      <c r="G81" s="65"/>
      <c r="H81" s="1">
        <v>78</v>
      </c>
      <c r="I81" s="2" t="s">
        <v>190</v>
      </c>
      <c r="J81" s="27" t="s">
        <v>191</v>
      </c>
      <c r="K81" s="27" t="s">
        <v>3</v>
      </c>
      <c r="L81" s="42">
        <v>1E-4</v>
      </c>
      <c r="M81" s="42">
        <v>3.9999999999999996E-4</v>
      </c>
      <c r="N81" s="48">
        <f>N26*$D$11</f>
        <v>90</v>
      </c>
      <c r="O81" s="71">
        <f t="shared" si="3"/>
        <v>4.4999999999999998E-2</v>
      </c>
      <c r="P81" s="65"/>
    </row>
    <row r="82" spans="2:16" ht="14.25" customHeight="1">
      <c r="B82" s="65"/>
      <c r="C82" s="22" t="s">
        <v>312</v>
      </c>
      <c r="D82" s="65"/>
      <c r="E82" s="65"/>
      <c r="F82" s="65"/>
      <c r="G82" s="65"/>
      <c r="H82" s="1">
        <v>79</v>
      </c>
      <c r="I82" s="2" t="s">
        <v>192</v>
      </c>
      <c r="J82" s="27" t="s">
        <v>193</v>
      </c>
      <c r="K82" s="27" t="s">
        <v>3</v>
      </c>
      <c r="L82" s="42">
        <v>1E-4</v>
      </c>
      <c r="M82" s="42">
        <v>2.0000000000000001E-4</v>
      </c>
      <c r="N82" s="48">
        <f>N68*2</f>
        <v>40</v>
      </c>
      <c r="O82" s="71">
        <f t="shared" si="3"/>
        <v>1.2E-2</v>
      </c>
      <c r="P82" s="65"/>
    </row>
    <row r="83" spans="2:16" ht="14.25" customHeight="1">
      <c r="B83" s="65"/>
      <c r="C83" s="65"/>
      <c r="D83" s="65"/>
      <c r="E83" s="65"/>
      <c r="F83" s="65"/>
      <c r="G83" s="65"/>
      <c r="H83" s="1">
        <v>80</v>
      </c>
      <c r="I83" s="2" t="s">
        <v>194</v>
      </c>
      <c r="J83" s="27" t="s">
        <v>195</v>
      </c>
      <c r="K83" s="27" t="s">
        <v>3</v>
      </c>
      <c r="L83" s="42">
        <v>1E-4</v>
      </c>
      <c r="M83" s="42">
        <v>3.9999999999999996E-4</v>
      </c>
      <c r="N83" s="48">
        <f>N75*$D$11</f>
        <v>300</v>
      </c>
      <c r="O83" s="71">
        <f t="shared" si="3"/>
        <v>0.15</v>
      </c>
      <c r="P83" s="65"/>
    </row>
    <row r="84" spans="2:16" ht="14.25" customHeight="1">
      <c r="B84" s="65"/>
      <c r="C84" s="22" t="s">
        <v>362</v>
      </c>
      <c r="D84" s="65"/>
      <c r="E84" s="65"/>
      <c r="F84" s="65"/>
      <c r="G84" s="65"/>
      <c r="H84" s="1">
        <v>81</v>
      </c>
      <c r="I84" s="2" t="s">
        <v>196</v>
      </c>
      <c r="J84" s="27" t="s">
        <v>197</v>
      </c>
      <c r="K84" s="27" t="s">
        <v>3</v>
      </c>
      <c r="L84" s="42">
        <v>3.9999999999999996E-4</v>
      </c>
      <c r="M84" s="42">
        <v>3.9999999999999996E-4</v>
      </c>
      <c r="N84" s="45">
        <v>3000</v>
      </c>
      <c r="O84" s="71">
        <f t="shared" si="3"/>
        <v>2.4</v>
      </c>
      <c r="P84" s="65"/>
    </row>
    <row r="85" spans="2:16" ht="14.25" customHeight="1">
      <c r="B85" s="65"/>
      <c r="C85" s="65"/>
      <c r="D85" s="65"/>
      <c r="E85" s="65"/>
      <c r="F85" s="65"/>
      <c r="G85" s="65"/>
      <c r="H85" s="1">
        <v>82</v>
      </c>
      <c r="I85" s="2" t="s">
        <v>198</v>
      </c>
      <c r="J85" s="27" t="s">
        <v>199</v>
      </c>
      <c r="K85" s="27" t="s">
        <v>3</v>
      </c>
      <c r="L85" s="42">
        <v>1E-4</v>
      </c>
      <c r="M85" s="42">
        <v>3.0000000000000003E-4</v>
      </c>
      <c r="N85" s="47">
        <f>N60*$D$17</f>
        <v>600000</v>
      </c>
      <c r="O85" s="71">
        <f t="shared" si="3"/>
        <v>240</v>
      </c>
      <c r="P85" s="65"/>
    </row>
    <row r="86" spans="2:16" ht="14.25" customHeight="1">
      <c r="B86" s="65"/>
      <c r="D86" s="65"/>
      <c r="E86" s="65"/>
      <c r="F86" s="65"/>
      <c r="H86" s="1">
        <v>83</v>
      </c>
      <c r="I86" s="2" t="s">
        <v>200</v>
      </c>
      <c r="J86" s="27" t="s">
        <v>201</v>
      </c>
      <c r="K86" s="27" t="s">
        <v>3</v>
      </c>
      <c r="L86" s="42">
        <v>1E-4</v>
      </c>
      <c r="M86" s="42">
        <v>3.9999999999999996E-4</v>
      </c>
      <c r="N86" s="47">
        <f>N60*$D$17</f>
        <v>600000</v>
      </c>
      <c r="O86" s="71">
        <f t="shared" si="3"/>
        <v>300</v>
      </c>
      <c r="P86" s="65"/>
    </row>
    <row r="87" spans="2:16" ht="14.25" customHeight="1">
      <c r="H87" s="1">
        <v>84</v>
      </c>
      <c r="I87" s="2" t="s">
        <v>202</v>
      </c>
      <c r="J87" s="27" t="s">
        <v>203</v>
      </c>
      <c r="K87" s="27" t="s">
        <v>3</v>
      </c>
      <c r="L87" s="42">
        <v>2.0000000000000001E-4</v>
      </c>
      <c r="M87" s="42">
        <v>3.0000000000000003E-4</v>
      </c>
      <c r="N87" s="47">
        <f>N34*12*$D$17</f>
        <v>600000</v>
      </c>
      <c r="O87" s="71">
        <f t="shared" si="3"/>
        <v>300</v>
      </c>
      <c r="P87" s="65"/>
    </row>
    <row r="88" spans="2:16" ht="14.25" customHeight="1">
      <c r="H88" s="1">
        <v>85</v>
      </c>
      <c r="I88" s="2" t="s">
        <v>204</v>
      </c>
      <c r="J88" s="27" t="s">
        <v>205</v>
      </c>
      <c r="K88" s="27" t="s">
        <v>3</v>
      </c>
      <c r="L88" s="42">
        <v>1E-4</v>
      </c>
      <c r="M88" s="42">
        <v>3.0000000000000003E-4</v>
      </c>
      <c r="N88" s="55">
        <f>N87*$D$11</f>
        <v>1800000</v>
      </c>
      <c r="O88" s="71">
        <f t="shared" si="3"/>
        <v>720</v>
      </c>
      <c r="P88" s="65"/>
    </row>
    <row r="89" spans="2:16" ht="14.25" customHeight="1">
      <c r="H89" s="1">
        <v>86</v>
      </c>
      <c r="I89" s="2" t="s">
        <v>206</v>
      </c>
      <c r="J89" s="27" t="s">
        <v>207</v>
      </c>
      <c r="K89" s="27" t="s">
        <v>3</v>
      </c>
      <c r="L89" s="42">
        <v>2.0000000000000001E-4</v>
      </c>
      <c r="M89" s="42">
        <v>3.0000000000000003E-4</v>
      </c>
      <c r="N89" s="55">
        <f>N49*12*$D$17</f>
        <v>6000000</v>
      </c>
      <c r="O89" s="71">
        <f t="shared" si="3"/>
        <v>3000</v>
      </c>
      <c r="P89" s="65"/>
    </row>
    <row r="90" spans="2:16" ht="14.25" customHeight="1">
      <c r="H90" s="1">
        <v>87</v>
      </c>
      <c r="I90" s="2" t="s">
        <v>208</v>
      </c>
      <c r="J90" s="27" t="s">
        <v>269</v>
      </c>
      <c r="K90" s="27" t="s">
        <v>3</v>
      </c>
      <c r="L90" s="42">
        <v>1E-4</v>
      </c>
      <c r="M90" s="42">
        <v>2.0000000000000001E-4</v>
      </c>
      <c r="N90" s="47">
        <f>N51*12*$D$17</f>
        <v>360000000</v>
      </c>
      <c r="O90" s="71">
        <f>(L90+M90)*N90</f>
        <v>108000.00000000001</v>
      </c>
      <c r="P90" s="65"/>
    </row>
    <row r="91" spans="2:16" ht="14.25" customHeight="1">
      <c r="H91" s="1">
        <v>88</v>
      </c>
      <c r="I91" s="2" t="s">
        <v>209</v>
      </c>
      <c r="J91" s="27" t="s">
        <v>210</v>
      </c>
      <c r="K91" s="27" t="s">
        <v>3</v>
      </c>
      <c r="L91" s="42">
        <v>1E-4</v>
      </c>
      <c r="M91" s="42">
        <v>5.0000000000000001E-4</v>
      </c>
      <c r="N91" s="47">
        <f>N54*12*$D$17</f>
        <v>2400000</v>
      </c>
      <c r="O91" s="71">
        <f t="shared" si="3"/>
        <v>1440.0000000000002</v>
      </c>
      <c r="P91" s="65"/>
    </row>
    <row r="92" spans="2:16" ht="14.25" customHeight="1">
      <c r="H92" s="1">
        <v>89</v>
      </c>
      <c r="I92" s="2" t="s">
        <v>211</v>
      </c>
      <c r="J92" s="27" t="s">
        <v>212</v>
      </c>
      <c r="K92" s="27" t="s">
        <v>3</v>
      </c>
      <c r="L92" s="42">
        <v>1E-4</v>
      </c>
      <c r="M92" s="42">
        <v>6.0000000000000006E-4</v>
      </c>
      <c r="N92" s="47">
        <f>N91*$D$11</f>
        <v>7200000</v>
      </c>
      <c r="O92" s="71">
        <f t="shared" si="3"/>
        <v>5040.0000000000009</v>
      </c>
      <c r="P92" s="65"/>
    </row>
    <row r="93" spans="2:16" ht="14.25" customHeight="1">
      <c r="H93" s="1">
        <v>90</v>
      </c>
      <c r="I93" s="2" t="s">
        <v>213</v>
      </c>
      <c r="J93" s="27" t="s">
        <v>214</v>
      </c>
      <c r="K93" s="27" t="s">
        <v>3</v>
      </c>
      <c r="L93" s="42">
        <v>1E-4</v>
      </c>
      <c r="M93" s="42">
        <v>3.9999999999999996E-4</v>
      </c>
      <c r="N93" s="47">
        <f>N96*12*$D$17</f>
        <v>6000000</v>
      </c>
      <c r="O93" s="71">
        <f t="shared" si="3"/>
        <v>3000</v>
      </c>
      <c r="P93" s="65"/>
    </row>
    <row r="94" spans="2:16" ht="14.25" customHeight="1">
      <c r="H94" s="1">
        <v>91</v>
      </c>
      <c r="I94" s="2" t="s">
        <v>215</v>
      </c>
      <c r="J94" s="27" t="s">
        <v>216</v>
      </c>
      <c r="K94" s="27" t="s">
        <v>3</v>
      </c>
      <c r="L94" s="42">
        <v>1E-4</v>
      </c>
      <c r="M94" s="42">
        <v>5.0000000000000001E-4</v>
      </c>
      <c r="N94" s="47">
        <f>N93*$D$11</f>
        <v>18000000</v>
      </c>
      <c r="O94" s="71">
        <f t="shared" si="3"/>
        <v>10800.000000000002</v>
      </c>
      <c r="P94" s="65"/>
    </row>
    <row r="95" spans="2:16" ht="14.25" customHeight="1">
      <c r="H95" s="1">
        <v>92</v>
      </c>
      <c r="I95" s="2" t="s">
        <v>217</v>
      </c>
      <c r="J95" s="27" t="s">
        <v>218</v>
      </c>
      <c r="K95" s="27" t="s">
        <v>3</v>
      </c>
      <c r="L95" s="42">
        <v>2.0000000000000001E-4</v>
      </c>
      <c r="M95" s="42">
        <v>3.0000000000000003E-4</v>
      </c>
      <c r="N95" s="47">
        <f>N54</f>
        <v>20000</v>
      </c>
      <c r="O95" s="71">
        <f t="shared" si="3"/>
        <v>10</v>
      </c>
      <c r="P95" s="65"/>
    </row>
    <row r="96" spans="2:16" ht="14.25" customHeight="1">
      <c r="H96" s="1">
        <v>93</v>
      </c>
      <c r="I96" s="2" t="s">
        <v>219</v>
      </c>
      <c r="J96" s="27" t="s">
        <v>220</v>
      </c>
      <c r="K96" s="27" t="s">
        <v>3</v>
      </c>
      <c r="L96" s="42">
        <v>2.0000000000000001E-4</v>
      </c>
      <c r="M96" s="42">
        <v>3.9999999999999996E-4</v>
      </c>
      <c r="N96" s="47">
        <f>N34*$D$29</f>
        <v>50000</v>
      </c>
      <c r="O96" s="71">
        <f t="shared" si="3"/>
        <v>29.999999999999996</v>
      </c>
      <c r="P96" s="65"/>
    </row>
    <row r="97" spans="8:17" ht="14.25" customHeight="1">
      <c r="H97" s="1">
        <v>94</v>
      </c>
      <c r="I97" s="2" t="s">
        <v>221</v>
      </c>
      <c r="J97" s="27" t="s">
        <v>222</v>
      </c>
      <c r="K97" s="27" t="s">
        <v>3</v>
      </c>
      <c r="L97" s="42">
        <v>1E-4</v>
      </c>
      <c r="M97" s="42">
        <v>6.0000000000000006E-4</v>
      </c>
      <c r="N97" s="47">
        <f>($D$30*$D$29*2)+($D$31*$D$29*2)</f>
        <v>6000</v>
      </c>
      <c r="O97" s="71">
        <f t="shared" si="3"/>
        <v>4.2</v>
      </c>
      <c r="P97" s="65"/>
    </row>
    <row r="98" spans="8:17" ht="14.25" customHeight="1">
      <c r="H98" s="1">
        <v>95</v>
      </c>
      <c r="I98" s="2" t="s">
        <v>223</v>
      </c>
      <c r="J98" s="27" t="s">
        <v>224</v>
      </c>
      <c r="K98" s="27" t="s">
        <v>3</v>
      </c>
      <c r="L98" s="42">
        <v>2.0000000000000001E-4</v>
      </c>
      <c r="M98" s="42">
        <v>6.9999999999999999E-4</v>
      </c>
      <c r="N98" s="82">
        <f>N96*($D$11)</f>
        <v>150000</v>
      </c>
      <c r="O98" s="71">
        <f t="shared" si="3"/>
        <v>135</v>
      </c>
      <c r="P98" s="65"/>
    </row>
    <row r="99" spans="8:17" ht="14.25" customHeight="1">
      <c r="H99" s="1">
        <v>96</v>
      </c>
      <c r="I99" s="2" t="s">
        <v>225</v>
      </c>
      <c r="J99" s="27" t="s">
        <v>226</v>
      </c>
      <c r="K99" s="27" t="s">
        <v>3</v>
      </c>
      <c r="L99" s="42">
        <v>1E-4</v>
      </c>
      <c r="M99" s="42">
        <v>6.0000000000000006E-4</v>
      </c>
      <c r="N99" s="82">
        <f>N97*($D$11)</f>
        <v>18000</v>
      </c>
      <c r="O99" s="71">
        <f t="shared" si="3"/>
        <v>12.600000000000001</v>
      </c>
      <c r="P99" s="65"/>
    </row>
    <row r="100" spans="8:17" ht="14.25" customHeight="1">
      <c r="H100" s="1">
        <v>97</v>
      </c>
      <c r="I100" s="2" t="s">
        <v>227</v>
      </c>
      <c r="J100" s="27" t="s">
        <v>228</v>
      </c>
      <c r="K100" s="27" t="s">
        <v>3</v>
      </c>
      <c r="L100" s="42">
        <v>2.0000000000000001E-4</v>
      </c>
      <c r="M100" s="42">
        <v>4.0000000000000002E-4</v>
      </c>
      <c r="N100" s="82">
        <f>N101*($D$11)</f>
        <v>156000</v>
      </c>
      <c r="O100" s="71">
        <f t="shared" si="3"/>
        <v>93.600000000000009</v>
      </c>
      <c r="P100" s="65"/>
    </row>
    <row r="101" spans="8:17" ht="14.25" customHeight="1">
      <c r="H101" s="1">
        <v>98</v>
      </c>
      <c r="I101" s="2" t="s">
        <v>229</v>
      </c>
      <c r="J101" s="27" t="s">
        <v>230</v>
      </c>
      <c r="K101" s="27" t="s">
        <v>3</v>
      </c>
      <c r="L101" s="42">
        <v>3.0000000000000003E-4</v>
      </c>
      <c r="M101" s="42">
        <v>5.0000000000000001E-4</v>
      </c>
      <c r="N101" s="47">
        <f>N96+($D$31*$D$17*2)</f>
        <v>52000</v>
      </c>
      <c r="O101" s="71">
        <f t="shared" si="3"/>
        <v>41.6</v>
      </c>
      <c r="P101" s="65"/>
    </row>
    <row r="102" spans="8:17" ht="14.25" customHeight="1">
      <c r="H102" s="1">
        <v>99</v>
      </c>
      <c r="I102" s="2" t="s">
        <v>265</v>
      </c>
      <c r="J102" s="27" t="s">
        <v>266</v>
      </c>
      <c r="K102" s="27" t="s">
        <v>267</v>
      </c>
      <c r="L102" s="42">
        <v>1E-4</v>
      </c>
      <c r="M102" s="42">
        <v>2.0000000000000001E-4</v>
      </c>
      <c r="N102" s="47">
        <f>N65</f>
        <v>2000000</v>
      </c>
      <c r="O102" s="72">
        <f t="shared" si="3"/>
        <v>600</v>
      </c>
    </row>
    <row r="103" spans="8:17" ht="14.25" customHeight="1">
      <c r="H103" s="1">
        <v>100</v>
      </c>
      <c r="I103" s="2" t="s">
        <v>231</v>
      </c>
      <c r="J103" s="27" t="s">
        <v>232</v>
      </c>
      <c r="K103" s="27" t="s">
        <v>3</v>
      </c>
      <c r="L103" s="42">
        <v>1E-4</v>
      </c>
      <c r="M103" s="42">
        <v>3.0000000000000003E-4</v>
      </c>
      <c r="N103" s="47">
        <f>$D$14</f>
        <v>100</v>
      </c>
      <c r="O103" s="71">
        <f t="shared" ref="O103:O124" si="4">(L103+M103)*N103</f>
        <v>0.04</v>
      </c>
    </row>
    <row r="104" spans="8:17" ht="14.25" customHeight="1">
      <c r="H104" s="1">
        <v>101</v>
      </c>
      <c r="I104" s="2" t="s">
        <v>360</v>
      </c>
      <c r="J104" s="27" t="s">
        <v>249</v>
      </c>
      <c r="K104" s="27" t="s">
        <v>3</v>
      </c>
      <c r="L104" s="42">
        <v>1E-4</v>
      </c>
      <c r="M104" s="42">
        <v>2.0000000000000001E-4</v>
      </c>
      <c r="N104" s="47">
        <f>1*$D$37*$D$17</f>
        <v>10</v>
      </c>
      <c r="O104" s="71">
        <f>(L104+M104)*N104</f>
        <v>3.0000000000000001E-3</v>
      </c>
      <c r="Q104" s="64"/>
    </row>
    <row r="105" spans="8:17" ht="14.25" customHeight="1">
      <c r="H105" s="1">
        <v>102</v>
      </c>
      <c r="I105" s="2" t="s">
        <v>240</v>
      </c>
      <c r="J105" s="27" t="s">
        <v>250</v>
      </c>
      <c r="K105" s="27" t="s">
        <v>3</v>
      </c>
      <c r="L105" s="42">
        <v>1E-4</v>
      </c>
      <c r="M105" s="42">
        <v>3.0000000000000003E-4</v>
      </c>
      <c r="N105" s="47">
        <f>1*$D$37*$D$17</f>
        <v>10</v>
      </c>
      <c r="O105" s="71">
        <f t="shared" si="4"/>
        <v>4.0000000000000001E-3</v>
      </c>
    </row>
    <row r="106" spans="8:17" ht="14.25" customHeight="1">
      <c r="H106" s="1">
        <v>103</v>
      </c>
      <c r="I106" s="2" t="s">
        <v>241</v>
      </c>
      <c r="J106" s="27" t="s">
        <v>251</v>
      </c>
      <c r="K106" s="27" t="s">
        <v>3</v>
      </c>
      <c r="L106" s="42">
        <v>1E-4</v>
      </c>
      <c r="M106" s="42">
        <v>3.0000000000000003E-4</v>
      </c>
      <c r="N106" s="47">
        <f>1*$D$37</f>
        <v>1</v>
      </c>
      <c r="O106" s="71">
        <f t="shared" si="4"/>
        <v>4.0000000000000002E-4</v>
      </c>
    </row>
    <row r="107" spans="8:17" ht="14.25" customHeight="1">
      <c r="H107" s="1">
        <v>104</v>
      </c>
      <c r="I107" s="2" t="s">
        <v>242</v>
      </c>
      <c r="J107" s="27" t="s">
        <v>252</v>
      </c>
      <c r="K107" s="27" t="s">
        <v>3</v>
      </c>
      <c r="L107" s="42">
        <v>1E-4</v>
      </c>
      <c r="M107" s="42">
        <v>5.0000000000000001E-4</v>
      </c>
      <c r="N107" s="47">
        <f>($D$39+$D$40+$D$41)*$D$37*$D$17</f>
        <v>13000</v>
      </c>
      <c r="O107" s="71">
        <f t="shared" si="4"/>
        <v>7.8000000000000007</v>
      </c>
    </row>
    <row r="108" spans="8:17" ht="14.25" customHeight="1">
      <c r="H108" s="1">
        <v>105</v>
      </c>
      <c r="I108" s="2" t="s">
        <v>243</v>
      </c>
      <c r="J108" s="27" t="s">
        <v>253</v>
      </c>
      <c r="K108" s="27" t="s">
        <v>3</v>
      </c>
      <c r="L108" s="42">
        <v>1E-4</v>
      </c>
      <c r="M108" s="42">
        <v>5.0000000000000001E-4</v>
      </c>
      <c r="N108" s="47">
        <f>($D$39+$D$40+$D$41+$D$42)*2*$D$37*$D$17</f>
        <v>36000</v>
      </c>
      <c r="O108" s="71">
        <f t="shared" ref="O108:O111" si="5">(L108+M108)*N108</f>
        <v>21.6</v>
      </c>
    </row>
    <row r="109" spans="8:17" ht="14.25" customHeight="1">
      <c r="H109" s="1">
        <v>106</v>
      </c>
      <c r="I109" s="2" t="s">
        <v>244</v>
      </c>
      <c r="J109" s="27" t="s">
        <v>254</v>
      </c>
      <c r="K109" s="27" t="s">
        <v>3</v>
      </c>
      <c r="L109" s="42">
        <v>1E-4</v>
      </c>
      <c r="M109" s="42">
        <v>3.0000000000000003E-4</v>
      </c>
      <c r="N109" s="47">
        <f>$D$41*$D$37*$D$17</f>
        <v>7000</v>
      </c>
      <c r="O109" s="71">
        <f t="shared" si="5"/>
        <v>2.8000000000000003</v>
      </c>
    </row>
    <row r="110" spans="8:17" ht="14.25" customHeight="1">
      <c r="H110" s="1">
        <v>107</v>
      </c>
      <c r="I110" s="2" t="s">
        <v>245</v>
      </c>
      <c r="J110" s="27" t="s">
        <v>255</v>
      </c>
      <c r="K110" s="27" t="s">
        <v>3</v>
      </c>
      <c r="L110" s="42">
        <v>2.0000000000000001E-4</v>
      </c>
      <c r="M110" s="42">
        <v>3.9999999999999996E-4</v>
      </c>
      <c r="N110" s="47">
        <f>$D$41*2*$D$37*$D$17</f>
        <v>14000</v>
      </c>
      <c r="O110" s="71">
        <f t="shared" si="5"/>
        <v>8.3999999999999986</v>
      </c>
    </row>
    <row r="111" spans="8:17" ht="14.25" customHeight="1">
      <c r="H111" s="1">
        <v>108</v>
      </c>
      <c r="I111" s="2" t="s">
        <v>246</v>
      </c>
      <c r="J111" s="27" t="s">
        <v>256</v>
      </c>
      <c r="K111" s="27" t="s">
        <v>3</v>
      </c>
      <c r="L111" s="42">
        <v>2.0000000000000001E-4</v>
      </c>
      <c r="M111" s="42">
        <v>2.0000000000000001E-4</v>
      </c>
      <c r="N111" s="47">
        <f>$D$41*$D$37*$D$17</f>
        <v>7000</v>
      </c>
      <c r="O111" s="71">
        <f t="shared" si="5"/>
        <v>2.8000000000000003</v>
      </c>
    </row>
    <row r="112" spans="8:17" ht="14.25" customHeight="1">
      <c r="H112" s="1">
        <v>109</v>
      </c>
      <c r="I112" s="2" t="s">
        <v>247</v>
      </c>
      <c r="J112" s="27" t="s">
        <v>257</v>
      </c>
      <c r="K112" s="27" t="s">
        <v>3</v>
      </c>
      <c r="L112" s="42">
        <v>1E-4</v>
      </c>
      <c r="M112" s="42">
        <v>2.0000000000000001E-4</v>
      </c>
      <c r="N112" s="47">
        <f>$D$37*$D$38*$D$17</f>
        <v>13000</v>
      </c>
      <c r="O112" s="71">
        <f t="shared" si="4"/>
        <v>3.9000000000000004</v>
      </c>
    </row>
    <row r="113" spans="8:15">
      <c r="H113" s="1">
        <v>110</v>
      </c>
      <c r="I113" s="2" t="s">
        <v>248</v>
      </c>
      <c r="J113" s="27" t="s">
        <v>258</v>
      </c>
      <c r="K113" s="27" t="s">
        <v>3</v>
      </c>
      <c r="L113" s="42">
        <v>1E-4</v>
      </c>
      <c r="M113" s="42">
        <v>2.0000000000000001E-4</v>
      </c>
      <c r="N113" s="47">
        <f>$D$37*($D$38+$D$42*2)*$D$17</f>
        <v>23000</v>
      </c>
      <c r="O113" s="71">
        <f t="shared" si="4"/>
        <v>6.9</v>
      </c>
    </row>
    <row r="114" spans="8:15">
      <c r="H114" s="1">
        <v>111</v>
      </c>
      <c r="I114" s="2" t="s">
        <v>283</v>
      </c>
      <c r="J114" s="27" t="s">
        <v>276</v>
      </c>
      <c r="K114" s="27" t="s">
        <v>3</v>
      </c>
      <c r="L114" s="42">
        <v>1E-4</v>
      </c>
      <c r="M114" s="42">
        <v>1E-4</v>
      </c>
      <c r="N114" s="47">
        <v>2</v>
      </c>
      <c r="O114" s="72">
        <f>(L114+M114)*N114</f>
        <v>4.0000000000000002E-4</v>
      </c>
    </row>
    <row r="115" spans="8:15">
      <c r="H115" s="1">
        <v>112</v>
      </c>
      <c r="I115" s="2" t="s">
        <v>284</v>
      </c>
      <c r="J115" s="27" t="s">
        <v>277</v>
      </c>
      <c r="K115" s="27" t="s">
        <v>3</v>
      </c>
      <c r="L115" s="42">
        <v>1E-4</v>
      </c>
      <c r="M115" s="42">
        <v>1E-4</v>
      </c>
      <c r="N115" s="47">
        <v>13</v>
      </c>
      <c r="O115" s="72">
        <f t="shared" ref="O115:O120" si="6">(L115+M115)*N115</f>
        <v>2.6000000000000003E-3</v>
      </c>
    </row>
    <row r="116" spans="8:15">
      <c r="H116" s="1">
        <v>113</v>
      </c>
      <c r="I116" s="2" t="s">
        <v>285</v>
      </c>
      <c r="J116" s="27" t="s">
        <v>278</v>
      </c>
      <c r="K116" s="27" t="s">
        <v>3</v>
      </c>
      <c r="L116" s="42">
        <v>2.0000000000000001E-4</v>
      </c>
      <c r="M116" s="42">
        <v>2.0000000000000001E-4</v>
      </c>
      <c r="N116" s="47">
        <v>2536</v>
      </c>
      <c r="O116" s="72">
        <f t="shared" si="6"/>
        <v>1.0144</v>
      </c>
    </row>
    <row r="117" spans="8:15">
      <c r="H117" s="1">
        <v>114</v>
      </c>
      <c r="I117" s="2" t="s">
        <v>286</v>
      </c>
      <c r="J117" s="27" t="s">
        <v>279</v>
      </c>
      <c r="K117" s="27" t="s">
        <v>3</v>
      </c>
      <c r="L117" s="42">
        <v>1E-4</v>
      </c>
      <c r="M117" s="42">
        <v>1E-4</v>
      </c>
      <c r="N117" s="47">
        <v>10</v>
      </c>
      <c r="O117" s="72">
        <f t="shared" si="6"/>
        <v>2E-3</v>
      </c>
    </row>
    <row r="118" spans="8:15">
      <c r="H118" s="1">
        <v>115</v>
      </c>
      <c r="I118" s="2" t="s">
        <v>287</v>
      </c>
      <c r="J118" s="27" t="s">
        <v>280</v>
      </c>
      <c r="K118" s="27" t="s">
        <v>3</v>
      </c>
      <c r="L118" s="42">
        <v>1E-4</v>
      </c>
      <c r="M118" s="42">
        <v>1E-4</v>
      </c>
      <c r="N118" s="47">
        <f>N117*200</f>
        <v>2000</v>
      </c>
      <c r="O118" s="72">
        <f t="shared" si="6"/>
        <v>0.4</v>
      </c>
    </row>
    <row r="119" spans="8:15">
      <c r="H119" s="1">
        <v>116</v>
      </c>
      <c r="I119" s="2" t="s">
        <v>288</v>
      </c>
      <c r="J119" s="27" t="s">
        <v>281</v>
      </c>
      <c r="K119" s="27" t="s">
        <v>3</v>
      </c>
      <c r="L119" s="42">
        <v>1E-4</v>
      </c>
      <c r="M119" s="42">
        <v>1E-4</v>
      </c>
      <c r="N119" s="47">
        <v>10</v>
      </c>
      <c r="O119" s="72">
        <f t="shared" si="6"/>
        <v>2E-3</v>
      </c>
    </row>
    <row r="120" spans="8:15">
      <c r="H120" s="1">
        <v>117</v>
      </c>
      <c r="I120" s="2" t="s">
        <v>289</v>
      </c>
      <c r="J120" s="27" t="s">
        <v>282</v>
      </c>
      <c r="K120" s="27" t="s">
        <v>3</v>
      </c>
      <c r="L120" s="42">
        <v>2.0000000000000001E-4</v>
      </c>
      <c r="M120" s="42">
        <v>2.0000000000000001E-4</v>
      </c>
      <c r="N120" s="47">
        <f>N119*100</f>
        <v>1000</v>
      </c>
      <c r="O120" s="72">
        <f t="shared" si="6"/>
        <v>0.4</v>
      </c>
    </row>
    <row r="121" spans="8:15">
      <c r="H121" s="1">
        <v>118</v>
      </c>
      <c r="I121" s="2" t="s">
        <v>275</v>
      </c>
      <c r="J121" s="27" t="s">
        <v>274</v>
      </c>
      <c r="K121" s="27" t="s">
        <v>3</v>
      </c>
      <c r="L121" s="42">
        <v>2.0000000000000001E-4</v>
      </c>
      <c r="M121" s="42">
        <v>2.0000000000000001E-4</v>
      </c>
      <c r="N121" s="47">
        <f>N48*0.5</f>
        <v>180000</v>
      </c>
      <c r="O121" s="72">
        <f t="shared" si="4"/>
        <v>72</v>
      </c>
    </row>
    <row r="122" spans="8:15">
      <c r="H122" s="1">
        <v>119</v>
      </c>
      <c r="I122" s="2" t="s">
        <v>290</v>
      </c>
      <c r="J122" s="27" t="s">
        <v>291</v>
      </c>
      <c r="K122" s="27" t="s">
        <v>3</v>
      </c>
      <c r="L122" s="42">
        <v>1E-4</v>
      </c>
      <c r="M122" s="42">
        <v>2.0000000000000001E-4</v>
      </c>
      <c r="N122" s="47">
        <f>(($D$9*2)+($D$10/2))*$D$11*$D$24</f>
        <v>3750</v>
      </c>
      <c r="O122" s="72">
        <f t="shared" si="4"/>
        <v>1.125</v>
      </c>
    </row>
    <row r="123" spans="8:15">
      <c r="H123" s="1">
        <v>120</v>
      </c>
      <c r="I123" s="2" t="s">
        <v>292</v>
      </c>
      <c r="J123" s="27" t="s">
        <v>293</v>
      </c>
      <c r="K123" s="27" t="s">
        <v>3</v>
      </c>
      <c r="L123" s="42">
        <v>1E-4</v>
      </c>
      <c r="M123" s="42">
        <v>2.0000000000000001E-4</v>
      </c>
      <c r="N123" s="47">
        <f>N54*$D$11*$D$24</f>
        <v>60000</v>
      </c>
      <c r="O123" s="72">
        <f t="shared" si="4"/>
        <v>18</v>
      </c>
    </row>
    <row r="124" spans="8:15">
      <c r="H124" s="1">
        <v>121</v>
      </c>
      <c r="I124" s="2" t="s">
        <v>294</v>
      </c>
      <c r="J124" s="27" t="s">
        <v>295</v>
      </c>
      <c r="K124" s="27" t="s">
        <v>3</v>
      </c>
      <c r="L124" s="42">
        <v>1E-4</v>
      </c>
      <c r="M124" s="42">
        <v>2.0000000000000001E-4</v>
      </c>
      <c r="N124" s="47">
        <f>N67*$D$11*$D$24</f>
        <v>90000</v>
      </c>
      <c r="O124" s="72">
        <f t="shared" si="4"/>
        <v>27.000000000000004</v>
      </c>
    </row>
    <row r="125" spans="8:15">
      <c r="H125" s="1">
        <v>122</v>
      </c>
      <c r="I125" s="2" t="s">
        <v>296</v>
      </c>
      <c r="J125" s="27" t="s">
        <v>301</v>
      </c>
      <c r="K125" s="27" t="s">
        <v>3</v>
      </c>
      <c r="L125" s="42">
        <v>1E-4</v>
      </c>
      <c r="M125" s="42">
        <v>2.0000000000000001E-4</v>
      </c>
      <c r="N125" s="47">
        <f>N91*$D$11*$D$24</f>
        <v>7200000</v>
      </c>
      <c r="O125" s="72">
        <f>(L125+M125)*N125</f>
        <v>2160</v>
      </c>
    </row>
    <row r="126" spans="8:15">
      <c r="H126" s="1">
        <v>123</v>
      </c>
      <c r="I126" s="2" t="s">
        <v>297</v>
      </c>
      <c r="J126" s="27" t="s">
        <v>299</v>
      </c>
      <c r="K126" s="27" t="s">
        <v>3</v>
      </c>
      <c r="L126" s="42">
        <v>1E-4</v>
      </c>
      <c r="M126" s="42">
        <v>2.9999999999999997E-4</v>
      </c>
      <c r="N126" s="47">
        <f>$N$107*$D$43</f>
        <v>13000</v>
      </c>
      <c r="O126" s="72">
        <f>ROUND((L126+M126)*N126,4)</f>
        <v>5.2</v>
      </c>
    </row>
    <row r="127" spans="8:15">
      <c r="H127" s="1">
        <v>124</v>
      </c>
      <c r="I127" s="2" t="s">
        <v>298</v>
      </c>
      <c r="J127" s="27" t="s">
        <v>300</v>
      </c>
      <c r="K127" s="27" t="s">
        <v>3</v>
      </c>
      <c r="L127" s="42">
        <v>1E-4</v>
      </c>
      <c r="M127" s="42">
        <v>4.0000000000000002E-4</v>
      </c>
      <c r="N127" s="47">
        <f>$N$108*$D$43</f>
        <v>36000</v>
      </c>
      <c r="O127" s="72">
        <f>ROUND((L127+M127)*N127,4)</f>
        <v>18</v>
      </c>
    </row>
    <row r="128" spans="8:15">
      <c r="H128" s="1">
        <v>125</v>
      </c>
      <c r="I128" s="2" t="s">
        <v>325</v>
      </c>
      <c r="J128" s="27" t="s">
        <v>313</v>
      </c>
      <c r="K128" s="27" t="s">
        <v>3</v>
      </c>
      <c r="L128" s="42">
        <v>1E-4</v>
      </c>
      <c r="M128" s="42">
        <v>2.0000000000000001E-4</v>
      </c>
      <c r="N128" s="75">
        <f>(20+$D$25)*$D$17</f>
        <v>240</v>
      </c>
      <c r="O128" s="72">
        <f t="shared" ref="O128:O150" si="7">ROUND((L128+M128)*N128,4)</f>
        <v>7.1999999999999995E-2</v>
      </c>
    </row>
    <row r="129" spans="8:15">
      <c r="H129" s="1">
        <v>126</v>
      </c>
      <c r="I129" s="2" t="s">
        <v>326</v>
      </c>
      <c r="J129" s="27" t="s">
        <v>314</v>
      </c>
      <c r="K129" s="27" t="s">
        <v>3</v>
      </c>
      <c r="L129" s="42">
        <v>1E-4</v>
      </c>
      <c r="M129" s="42">
        <v>5.0000000000000001E-4</v>
      </c>
      <c r="N129" s="75">
        <f>($D$9*$D$17)/12*$D$25</f>
        <v>1666.6666666666667</v>
      </c>
      <c r="O129" s="72">
        <f t="shared" si="7"/>
        <v>1</v>
      </c>
    </row>
    <row r="130" spans="8:15">
      <c r="H130" s="1">
        <v>127</v>
      </c>
      <c r="I130" s="2" t="s">
        <v>327</v>
      </c>
      <c r="J130" s="27" t="s">
        <v>315</v>
      </c>
      <c r="K130" s="27" t="s">
        <v>3</v>
      </c>
      <c r="L130" s="42">
        <v>1E-4</v>
      </c>
      <c r="M130" s="42">
        <v>6.9999999999999999E-4</v>
      </c>
      <c r="N130" s="75">
        <f>N129*$D$11</f>
        <v>5000</v>
      </c>
      <c r="O130" s="72">
        <f t="shared" si="7"/>
        <v>4</v>
      </c>
    </row>
    <row r="131" spans="8:15">
      <c r="H131" s="1">
        <v>128</v>
      </c>
      <c r="I131" s="2" t="s">
        <v>328</v>
      </c>
      <c r="J131" s="27" t="s">
        <v>316</v>
      </c>
      <c r="K131" s="27" t="s">
        <v>3</v>
      </c>
      <c r="L131" s="42">
        <v>1E-4</v>
      </c>
      <c r="M131" s="42">
        <v>2.9999999999999997E-4</v>
      </c>
      <c r="N131" s="75">
        <f>N129*$D$11*$D$24</f>
        <v>5000</v>
      </c>
      <c r="O131" s="72">
        <f t="shared" si="7"/>
        <v>2</v>
      </c>
    </row>
    <row r="132" spans="8:15">
      <c r="H132" s="1">
        <v>129</v>
      </c>
      <c r="I132" s="2" t="s">
        <v>329</v>
      </c>
      <c r="J132" s="27" t="s">
        <v>317</v>
      </c>
      <c r="K132" s="27" t="s">
        <v>3</v>
      </c>
      <c r="L132" s="42">
        <v>1E-4</v>
      </c>
      <c r="M132" s="42">
        <v>4.0000000000000002E-4</v>
      </c>
      <c r="N132" s="75">
        <f>($D$30*$D$17)/12*$D$25</f>
        <v>666.66666666666663</v>
      </c>
      <c r="O132" s="72">
        <f t="shared" si="7"/>
        <v>0.33329999999999999</v>
      </c>
    </row>
    <row r="133" spans="8:15">
      <c r="H133" s="1">
        <v>130</v>
      </c>
      <c r="I133" s="2" t="s">
        <v>330</v>
      </c>
      <c r="J133" s="27" t="s">
        <v>318</v>
      </c>
      <c r="K133" s="27" t="s">
        <v>3</v>
      </c>
      <c r="L133" s="42">
        <v>1E-4</v>
      </c>
      <c r="M133" s="42">
        <v>4.0000000000000002E-4</v>
      </c>
      <c r="N133" s="75">
        <f>N132*($D$11-1)</f>
        <v>1333.3333333333333</v>
      </c>
      <c r="O133" s="72">
        <f t="shared" si="7"/>
        <v>0.66669999999999996</v>
      </c>
    </row>
    <row r="134" spans="8:15">
      <c r="H134" s="1">
        <v>131</v>
      </c>
      <c r="I134" s="2" t="s">
        <v>331</v>
      </c>
      <c r="J134" s="27" t="s">
        <v>319</v>
      </c>
      <c r="K134" s="27" t="s">
        <v>3</v>
      </c>
      <c r="L134" s="42">
        <v>1E-4</v>
      </c>
      <c r="M134" s="42">
        <v>4.0000000000000002E-4</v>
      </c>
      <c r="N134" s="75">
        <f>N96/12*$D$25</f>
        <v>16666.666666666668</v>
      </c>
      <c r="O134" s="72">
        <f t="shared" si="7"/>
        <v>8.3332999999999995</v>
      </c>
    </row>
    <row r="135" spans="8:15">
      <c r="H135" s="1">
        <v>132</v>
      </c>
      <c r="I135" s="2" t="s">
        <v>332</v>
      </c>
      <c r="J135" s="27" t="s">
        <v>320</v>
      </c>
      <c r="K135" s="27" t="s">
        <v>3</v>
      </c>
      <c r="L135" s="42">
        <v>2.0000000000000001E-4</v>
      </c>
      <c r="M135" s="42">
        <v>6.9999999999999999E-4</v>
      </c>
      <c r="N135" s="75">
        <f>N134*($D$11-1)</f>
        <v>33333.333333333336</v>
      </c>
      <c r="O135" s="72">
        <f t="shared" si="7"/>
        <v>30</v>
      </c>
    </row>
    <row r="136" spans="8:15">
      <c r="H136" s="1">
        <v>133</v>
      </c>
      <c r="I136" s="2" t="s">
        <v>333</v>
      </c>
      <c r="J136" s="27" t="s">
        <v>321</v>
      </c>
      <c r="K136" s="27" t="s">
        <v>3</v>
      </c>
      <c r="L136" s="42">
        <v>2.0000000000000001E-4</v>
      </c>
      <c r="M136" s="42">
        <v>2.9999999999999997E-4</v>
      </c>
      <c r="N136" s="75">
        <f>N49/12*$D$25</f>
        <v>16666.666666666668</v>
      </c>
      <c r="O136" s="72">
        <f t="shared" si="7"/>
        <v>8.3332999999999995</v>
      </c>
    </row>
    <row r="137" spans="8:15">
      <c r="H137" s="1">
        <v>134</v>
      </c>
      <c r="I137" s="2" t="s">
        <v>336</v>
      </c>
      <c r="J137" s="27" t="s">
        <v>322</v>
      </c>
      <c r="K137" s="27" t="s">
        <v>3</v>
      </c>
      <c r="L137" s="42">
        <v>1E-4</v>
      </c>
      <c r="M137" s="42">
        <v>5.9999999999999995E-4</v>
      </c>
      <c r="N137" s="75">
        <f>(($D$9*$D$17)+($D$10*$D$17*2))/12*$D$25</f>
        <v>5000</v>
      </c>
      <c r="O137" s="72">
        <f t="shared" si="7"/>
        <v>3.5</v>
      </c>
    </row>
    <row r="138" spans="8:15">
      <c r="H138" s="1">
        <v>135</v>
      </c>
      <c r="I138" s="2" t="s">
        <v>337</v>
      </c>
      <c r="J138" s="27" t="s">
        <v>323</v>
      </c>
      <c r="K138" s="27" t="s">
        <v>3</v>
      </c>
      <c r="L138" s="42">
        <v>1E-4</v>
      </c>
      <c r="M138" s="42">
        <v>8.0000000000000004E-4</v>
      </c>
      <c r="N138" s="75">
        <f>N137*$D$11</f>
        <v>15000</v>
      </c>
      <c r="O138" s="72">
        <f t="shared" si="7"/>
        <v>13.5</v>
      </c>
    </row>
    <row r="139" spans="8:15">
      <c r="H139" s="1">
        <v>136</v>
      </c>
      <c r="I139" s="2" t="s">
        <v>338</v>
      </c>
      <c r="J139" s="27" t="s">
        <v>324</v>
      </c>
      <c r="K139" s="27" t="s">
        <v>3</v>
      </c>
      <c r="L139" s="42">
        <v>1E-4</v>
      </c>
      <c r="M139" s="42">
        <v>2.9999999999999997E-4</v>
      </c>
      <c r="N139" s="75">
        <f>N137*$D$11*$D$24</f>
        <v>15000</v>
      </c>
      <c r="O139" s="72">
        <f t="shared" si="7"/>
        <v>6</v>
      </c>
    </row>
    <row r="140" spans="8:15">
      <c r="H140" s="1">
        <v>137</v>
      </c>
      <c r="I140" s="2" t="s">
        <v>339</v>
      </c>
      <c r="J140" s="27" t="s">
        <v>340</v>
      </c>
      <c r="K140" s="27" t="s">
        <v>3</v>
      </c>
      <c r="L140" s="42">
        <v>1E-4</v>
      </c>
      <c r="M140" s="42">
        <v>4.0000000000000002E-4</v>
      </c>
      <c r="N140" s="75">
        <f>(($D$30*$D$17)+($D$31*$D$17*2))/12*$D$25</f>
        <v>1333.3333333333333</v>
      </c>
      <c r="O140" s="72">
        <f t="shared" si="7"/>
        <v>0.66669999999999996</v>
      </c>
    </row>
    <row r="141" spans="8:15">
      <c r="H141" s="1">
        <v>138</v>
      </c>
      <c r="I141" s="2" t="s">
        <v>342</v>
      </c>
      <c r="J141" s="27" t="s">
        <v>341</v>
      </c>
      <c r="K141" s="27" t="s">
        <v>3</v>
      </c>
      <c r="L141" s="42">
        <v>1E-4</v>
      </c>
      <c r="M141" s="42">
        <v>4.0000000000000002E-4</v>
      </c>
      <c r="N141" s="75">
        <f>N133*($D$11-1)</f>
        <v>2666.6666666666665</v>
      </c>
      <c r="O141" s="72">
        <f t="shared" si="7"/>
        <v>1.3332999999999999</v>
      </c>
    </row>
    <row r="142" spans="8:15">
      <c r="H142" s="1">
        <v>139</v>
      </c>
      <c r="I142" s="2" t="s">
        <v>344</v>
      </c>
      <c r="J142" s="27" t="s">
        <v>343</v>
      </c>
      <c r="K142" s="27" t="s">
        <v>3</v>
      </c>
      <c r="L142" s="42">
        <v>2.9999999999999997E-4</v>
      </c>
      <c r="M142" s="42">
        <v>4.0000000000000002E-4</v>
      </c>
      <c r="N142" s="75">
        <f>(($D$30*$D$29)+($D$31*2))*$D$17/12*$D$25</f>
        <v>7333.333333333333</v>
      </c>
      <c r="O142" s="72">
        <f t="shared" si="7"/>
        <v>5.1333000000000002</v>
      </c>
    </row>
    <row r="143" spans="8:15">
      <c r="H143" s="1">
        <v>140</v>
      </c>
      <c r="I143" s="2" t="s">
        <v>345</v>
      </c>
      <c r="J143" s="27" t="s">
        <v>346</v>
      </c>
      <c r="K143" s="27" t="s">
        <v>3</v>
      </c>
      <c r="L143" s="42">
        <v>2.0000000000000001E-4</v>
      </c>
      <c r="M143" s="42">
        <v>6.9999999999999999E-4</v>
      </c>
      <c r="N143" s="75">
        <f>N142*($D$11-1)</f>
        <v>14666.666666666666</v>
      </c>
      <c r="O143" s="72">
        <f t="shared" si="7"/>
        <v>13.2</v>
      </c>
    </row>
    <row r="144" spans="8:15">
      <c r="H144" s="1">
        <v>141</v>
      </c>
      <c r="I144" s="2" t="s">
        <v>348</v>
      </c>
      <c r="J144" s="27" t="s">
        <v>347</v>
      </c>
      <c r="K144" s="27" t="s">
        <v>3</v>
      </c>
      <c r="L144" s="42">
        <v>2.0000000000000001E-4</v>
      </c>
      <c r="M144" s="42">
        <v>2.9999999999999997E-4</v>
      </c>
      <c r="N144" s="75">
        <f>N143</f>
        <v>14666.666666666666</v>
      </c>
      <c r="O144" s="72">
        <f t="shared" si="7"/>
        <v>7.3333000000000004</v>
      </c>
    </row>
    <row r="145" spans="8:15">
      <c r="H145" s="1">
        <v>142</v>
      </c>
      <c r="I145" s="2" t="s">
        <v>350</v>
      </c>
      <c r="J145" s="27" t="s">
        <v>349</v>
      </c>
      <c r="K145" s="27" t="s">
        <v>3</v>
      </c>
      <c r="L145" s="42">
        <v>1E-4</v>
      </c>
      <c r="M145" s="42">
        <v>2.9999999999999997E-4</v>
      </c>
      <c r="N145" s="75">
        <f>N112/12*$D$25</f>
        <v>4333.333333333333</v>
      </c>
      <c r="O145" s="72">
        <f t="shared" si="7"/>
        <v>1.7333000000000001</v>
      </c>
    </row>
    <row r="146" spans="8:15">
      <c r="H146" s="1">
        <v>143</v>
      </c>
      <c r="I146" s="2" t="s">
        <v>352</v>
      </c>
      <c r="J146" s="27" t="s">
        <v>351</v>
      </c>
      <c r="K146" s="27" t="s">
        <v>3</v>
      </c>
      <c r="L146" s="42">
        <v>1E-4</v>
      </c>
      <c r="M146" s="42">
        <v>5.0000000000000001E-4</v>
      </c>
      <c r="N146" s="75">
        <f>N107/12*$D$25</f>
        <v>4333.333333333333</v>
      </c>
      <c r="O146" s="72">
        <f t="shared" si="7"/>
        <v>2.6</v>
      </c>
    </row>
    <row r="147" spans="8:15">
      <c r="H147" s="1">
        <v>144</v>
      </c>
      <c r="I147" s="2" t="s">
        <v>354</v>
      </c>
      <c r="J147" s="27" t="s">
        <v>353</v>
      </c>
      <c r="K147" s="27" t="s">
        <v>3</v>
      </c>
      <c r="L147" s="42">
        <v>1E-4</v>
      </c>
      <c r="M147" s="42">
        <v>2.9999999999999997E-4</v>
      </c>
      <c r="N147" s="75">
        <f>N107/12*$D$25</f>
        <v>4333.333333333333</v>
      </c>
      <c r="O147" s="72">
        <f t="shared" si="7"/>
        <v>1.7333000000000001</v>
      </c>
    </row>
    <row r="148" spans="8:15">
      <c r="H148" s="1">
        <v>145</v>
      </c>
      <c r="I148" s="2" t="s">
        <v>356</v>
      </c>
      <c r="J148" s="27" t="s">
        <v>355</v>
      </c>
      <c r="K148" s="27" t="s">
        <v>3</v>
      </c>
      <c r="L148" s="42">
        <v>1E-4</v>
      </c>
      <c r="M148" s="42">
        <v>2.9999999999999997E-4</v>
      </c>
      <c r="N148" s="75">
        <f>N113/12*$D$25</f>
        <v>7666.666666666667</v>
      </c>
      <c r="O148" s="72">
        <f t="shared" si="7"/>
        <v>3.0667</v>
      </c>
    </row>
    <row r="149" spans="8:15">
      <c r="H149" s="1">
        <v>146</v>
      </c>
      <c r="I149" s="2" t="s">
        <v>357</v>
      </c>
      <c r="J149" s="27" t="s">
        <v>358</v>
      </c>
      <c r="K149" s="27" t="s">
        <v>3</v>
      </c>
      <c r="L149" s="42">
        <v>1E-4</v>
      </c>
      <c r="M149" s="42">
        <v>5.9999999999999995E-4</v>
      </c>
      <c r="N149" s="75">
        <f>N108/12*$D$25</f>
        <v>12000</v>
      </c>
      <c r="O149" s="72">
        <f t="shared" si="7"/>
        <v>8.4</v>
      </c>
    </row>
    <row r="150" spans="8:15">
      <c r="H150" s="1">
        <v>147</v>
      </c>
      <c r="I150" s="2" t="s">
        <v>361</v>
      </c>
      <c r="J150" s="27" t="s">
        <v>359</v>
      </c>
      <c r="K150" s="27" t="s">
        <v>3</v>
      </c>
      <c r="L150" s="42">
        <v>1E-4</v>
      </c>
      <c r="M150" s="42">
        <v>2.9999999999999997E-4</v>
      </c>
      <c r="N150" s="75">
        <f>N127/12*$D$25</f>
        <v>12000</v>
      </c>
      <c r="O150" s="72">
        <f t="shared" si="7"/>
        <v>4.8</v>
      </c>
    </row>
    <row r="151" spans="8:15" ht="14.25" thickBot="1">
      <c r="O151" s="74">
        <f>SUM(O4:O150)</f>
        <v>162412.58708741717</v>
      </c>
    </row>
    <row r="152" spans="8:15" ht="14.25" thickTop="1"/>
    <row r="153" spans="8:15" ht="14.25" thickBot="1">
      <c r="H153" s="38">
        <v>212</v>
      </c>
      <c r="I153" s="39" t="s">
        <v>12</v>
      </c>
      <c r="J153" s="40"/>
      <c r="K153" s="41"/>
      <c r="L153" s="40"/>
      <c r="M153" s="40"/>
      <c r="N153" s="61"/>
      <c r="O153" s="40">
        <v>157</v>
      </c>
    </row>
    <row r="154" spans="8:15" ht="15" thickTop="1" thickBot="1">
      <c r="H154" s="38">
        <v>213</v>
      </c>
      <c r="I154" s="39" t="s">
        <v>233</v>
      </c>
      <c r="J154" s="40"/>
      <c r="K154" s="41"/>
      <c r="L154" s="40"/>
      <c r="M154" s="40"/>
      <c r="N154" s="61"/>
      <c r="O154" s="40">
        <f>O151*D56*3</f>
        <v>0</v>
      </c>
    </row>
    <row r="155" spans="8:15" ht="14.25" thickTop="1"/>
  </sheetData>
  <phoneticPr fontId="18"/>
  <dataValidations count="2">
    <dataValidation type="whole" allowBlank="1" showInputMessage="1" showErrorMessage="1" error="1か0を入力して下さい。" sqref="D56" xr:uid="{00000000-0002-0000-0000-000000000000}">
      <formula1>0</formula1>
      <formula2>1</formula2>
    </dataValidation>
    <dataValidation type="whole" imeMode="off" operator="greaterThanOrEqual" allowBlank="1" showInputMessage="1" showErrorMessage="1" sqref="D49:D50 D28:D34 D37:D43 D8:D25" xr:uid="{00000000-0002-0000-00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3" fitToHeight="0" orientation="portrait" verticalDpi="0" r:id="rId1"/>
  <ignoredErrors>
    <ignoredError sqref="N110 N134 N9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53894D17DC7C47BE63F9D1750C23E3" ma:contentTypeVersion="16" ma:contentTypeDescription="新しいドキュメントを作成します。" ma:contentTypeScope="" ma:versionID="4c35edf87c02789b171ce810a721c917">
  <xsd:schema xmlns:xsd="http://www.w3.org/2001/XMLSchema" xmlns:xs="http://www.w3.org/2001/XMLSchema" xmlns:p="http://schemas.microsoft.com/office/2006/metadata/properties" xmlns:ns2="5390fd7e-3ae6-4c6f-b2b3-e212599418c7" xmlns:ns3="c77ec646-6dad-47dc-8a8f-7ccedac5bce3" targetNamespace="http://schemas.microsoft.com/office/2006/metadata/properties" ma:root="true" ma:fieldsID="41774c6db6d921d399a5151416662aa2" ns2:_="" ns3:_="">
    <xsd:import namespace="5390fd7e-3ae6-4c6f-b2b3-e212599418c7"/>
    <xsd:import namespace="c77ec646-6dad-47dc-8a8f-7ccedac5bc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0fd7e-3ae6-4c6f-b2b3-e212599418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04E044B-0321-47DF-93AC-5F65165BAE8E}" ma:internalName="TaxCatchAll" ma:showField="CatchAllData" ma:web="{e2b653b9-dda0-4875-ae0d-da43feb7684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ec646-6dad-47dc-8a8f-7ccedac5b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39cf6af-007c-4f7d-a604-462adfc62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7ec646-6dad-47dc-8a8f-7ccedac5bce3">
      <Terms xmlns="http://schemas.microsoft.com/office/infopath/2007/PartnerControls"/>
    </lcf76f155ced4ddcb4097134ff3c332f>
    <TaxCatchAll xmlns="5390fd7e-3ae6-4c6f-b2b3-e212599418c7" xsi:nil="true"/>
  </documentManagement>
</p:properties>
</file>

<file path=customXml/itemProps1.xml><?xml version="1.0" encoding="utf-8"?>
<ds:datastoreItem xmlns:ds="http://schemas.openxmlformats.org/officeDocument/2006/customXml" ds:itemID="{82DE1734-3D79-469E-85AE-89F1591AC6EA}"/>
</file>

<file path=customXml/itemProps2.xml><?xml version="1.0" encoding="utf-8"?>
<ds:datastoreItem xmlns:ds="http://schemas.openxmlformats.org/officeDocument/2006/customXml" ds:itemID="{5E9053D2-0F86-475B-BEE7-EA94A7A671C5}"/>
</file>

<file path=customXml/itemProps3.xml><?xml version="1.0" encoding="utf-8"?>
<ds:datastoreItem xmlns:ds="http://schemas.openxmlformats.org/officeDocument/2006/customXml" ds:itemID="{6B3A0866-37BE-4609-B5D7-EC32FC2783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NX固定資産管理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2013-08-02T05:53:12Z</dcterms:created>
  <dcterms:modified xsi:type="dcterms:W3CDTF">2026-05-07T05:16:14Z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0x0101000B53894D17DC7C47BE63F9D1750C23E3</vt:lpwstr>
  </property>
</Properties>
</file>