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3862371-FE0B-4880-ADBB-8B5548E98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Xグループ経営管理(DBサーバ)" sheetId="4" r:id="rId1"/>
    <sheet name="NXグループ経営管理(分析集計DBサーバ) " sheetId="11" r:id="rId2"/>
    <sheet name="NXグループ経営管理 (APサーバ)" sheetId="13" r:id="rId3"/>
  </sheets>
  <externalReferences>
    <externalReference r:id="rId4"/>
  </externalReferences>
  <definedNames>
    <definedName name="_xlnm._FilterDatabase" localSheetId="2" hidden="1">'NXグループ経営管理 (APサーバ)'!$H$36:$H$39</definedName>
    <definedName name="_xlnm.Print_Area" localSheetId="2">'NXグループ経営管理 (APサーバ)'!$B$11:$X$82</definedName>
    <definedName name="アーカイブ利用有無">'NXグループ経営管理(DBサーバ)'!$D$134:$D$135</definedName>
    <definedName name="仕様選択">'NXグループ経営管理 (APサーバ)'!$E$2:$E$4</definedName>
    <definedName name="単位" localSheetId="0">#REF!</definedName>
    <definedName name="単位">[1]Sheet3!$B$3:$B$4</definedName>
    <definedName name="入力値単位">'NXグループ経営管理(DBサーバ)'!$D$130:$D$131</definedName>
    <definedName name="利用方針">'NXグループ経営管理 (APサーバ)'!$F$2:$F$4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9" i="13" l="1"/>
  <c r="V24" i="13"/>
  <c r="V20" i="13"/>
  <c r="C2" i="11" l="1"/>
  <c r="W22" i="13"/>
  <c r="O57" i="11"/>
  <c r="H98" i="4"/>
  <c r="J98" i="4" s="1"/>
  <c r="H99" i="4"/>
  <c r="H101" i="4"/>
  <c r="H100" i="4"/>
  <c r="H90" i="4"/>
  <c r="H102" i="4"/>
  <c r="J102" i="4" s="1"/>
  <c r="H93" i="4"/>
  <c r="H92" i="4"/>
  <c r="H64" i="4"/>
  <c r="K102" i="4" l="1"/>
  <c r="V23" i="13" l="1"/>
  <c r="W23" i="13" l="1"/>
  <c r="W20" i="13"/>
  <c r="V21" i="13"/>
  <c r="W80" i="13"/>
  <c r="V80" i="13"/>
  <c r="W74" i="13"/>
  <c r="V74" i="13"/>
  <c r="W69" i="13"/>
  <c r="W64" i="13"/>
  <c r="V64" i="13"/>
  <c r="W63" i="13"/>
  <c r="V63" i="13"/>
  <c r="W62" i="13"/>
  <c r="V62" i="13"/>
  <c r="W59" i="13"/>
  <c r="V59" i="13"/>
  <c r="W58" i="13"/>
  <c r="V58" i="13"/>
  <c r="W57" i="13"/>
  <c r="V57" i="13"/>
  <c r="W54" i="13"/>
  <c r="V54" i="13"/>
  <c r="W53" i="13"/>
  <c r="V53" i="13"/>
  <c r="W52" i="13"/>
  <c r="V52" i="13"/>
  <c r="W49" i="13"/>
  <c r="V49" i="13"/>
  <c r="W48" i="13"/>
  <c r="V48" i="13"/>
  <c r="W47" i="13"/>
  <c r="V47" i="13"/>
  <c r="V42" i="13"/>
  <c r="W42" i="13"/>
  <c r="W44" i="13"/>
  <c r="V44" i="13"/>
  <c r="W43" i="13"/>
  <c r="V43" i="13"/>
  <c r="V35" i="13"/>
  <c r="W35" i="13"/>
  <c r="V36" i="13"/>
  <c r="W36" i="13"/>
  <c r="V37" i="13"/>
  <c r="W37" i="13"/>
  <c r="V38" i="13"/>
  <c r="W38" i="13"/>
  <c r="V39" i="13"/>
  <c r="W39" i="13"/>
  <c r="C12" i="13"/>
  <c r="R22" i="13" l="1"/>
  <c r="V22" i="13" s="1"/>
  <c r="G15" i="13" s="1"/>
  <c r="P22" i="13"/>
  <c r="H104" i="4" l="1"/>
  <c r="L53" i="4"/>
  <c r="J64" i="4"/>
  <c r="H105" i="4"/>
  <c r="H106" i="4"/>
  <c r="J104" i="4" l="1"/>
  <c r="K104" i="4" s="1"/>
  <c r="K64" i="4" l="1"/>
  <c r="P52" i="11" l="1"/>
  <c r="Q52" i="11" l="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P45" i="11"/>
  <c r="P48" i="11"/>
  <c r="P42" i="11"/>
  <c r="P43" i="11"/>
  <c r="AK38" i="11"/>
  <c r="AK52" i="11" l="1"/>
  <c r="AI15" i="11"/>
  <c r="J22" i="4"/>
  <c r="P15" i="11"/>
  <c r="P46" i="11" s="1"/>
  <c r="AK23" i="11"/>
  <c r="J21" i="4" l="1"/>
  <c r="H66" i="4" s="1"/>
  <c r="J66" i="4" s="1"/>
  <c r="AK31" i="11"/>
  <c r="AK33" i="11"/>
  <c r="AK34" i="11"/>
  <c r="AK35" i="11"/>
  <c r="AK36" i="11"/>
  <c r="AK37" i="11"/>
  <c r="AK30" i="11"/>
  <c r="P32" i="11"/>
  <c r="P44" i="11" s="1"/>
  <c r="AF32" i="11"/>
  <c r="AG32" i="11"/>
  <c r="AH32" i="11"/>
  <c r="AI32" i="11"/>
  <c r="X32" i="11"/>
  <c r="Y32" i="11"/>
  <c r="Z32" i="11"/>
  <c r="AA32" i="11"/>
  <c r="AB32" i="11"/>
  <c r="AC32" i="11"/>
  <c r="AD32" i="11"/>
  <c r="AE32" i="11"/>
  <c r="T32" i="11"/>
  <c r="U32" i="11"/>
  <c r="V32" i="11"/>
  <c r="W32" i="11"/>
  <c r="R32" i="11"/>
  <c r="S32" i="11"/>
  <c r="Q32" i="11"/>
  <c r="AK32" i="11" l="1"/>
  <c r="AI48" i="11"/>
  <c r="L57" i="4"/>
  <c r="P55" i="4"/>
  <c r="Q55" i="4"/>
  <c r="T55" i="4"/>
  <c r="U55" i="4"/>
  <c r="V55" i="4"/>
  <c r="X55" i="4"/>
  <c r="Y55" i="4"/>
  <c r="AC55" i="4"/>
  <c r="AK20" i="11"/>
  <c r="AK21" i="11"/>
  <c r="AK22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O22" i="11"/>
  <c r="T44" i="11"/>
  <c r="U44" i="11"/>
  <c r="V44" i="11"/>
  <c r="W44" i="11"/>
  <c r="X44" i="11"/>
  <c r="Y44" i="11"/>
  <c r="AA44" i="11"/>
  <c r="AC44" i="11"/>
  <c r="AD44" i="11"/>
  <c r="AE44" i="11"/>
  <c r="AF44" i="11"/>
  <c r="AG44" i="11"/>
  <c r="AH44" i="11"/>
  <c r="AI44" i="11"/>
  <c r="Q44" i="11"/>
  <c r="J47" i="4"/>
  <c r="J92" i="4" s="1"/>
  <c r="Q15" i="11"/>
  <c r="Q46" i="11" s="1"/>
  <c r="R15" i="11"/>
  <c r="S15" i="11"/>
  <c r="T15" i="11"/>
  <c r="T46" i="11" s="1"/>
  <c r="U15" i="11"/>
  <c r="U46" i="11" s="1"/>
  <c r="V15" i="11"/>
  <c r="W15" i="11"/>
  <c r="X15" i="11"/>
  <c r="X46" i="11" s="1"/>
  <c r="Y15" i="11"/>
  <c r="Y46" i="11" s="1"/>
  <c r="Z15" i="11"/>
  <c r="AA15" i="11"/>
  <c r="AB15" i="11"/>
  <c r="AB46" i="11" s="1"/>
  <c r="AC15" i="11"/>
  <c r="AC46" i="11" s="1"/>
  <c r="AD15" i="11"/>
  <c r="AE15" i="11"/>
  <c r="AF15" i="11"/>
  <c r="AF46" i="11" s="1"/>
  <c r="AG15" i="11"/>
  <c r="AG46" i="11" s="1"/>
  <c r="AH15" i="11"/>
  <c r="AI46" i="11"/>
  <c r="AB45" i="11"/>
  <c r="AA45" i="11"/>
  <c r="Z45" i="11"/>
  <c r="Y45" i="11"/>
  <c r="X45" i="11"/>
  <c r="W45" i="11"/>
  <c r="V45" i="11"/>
  <c r="U45" i="11"/>
  <c r="AB44" i="11"/>
  <c r="Z44" i="11"/>
  <c r="AB43" i="11"/>
  <c r="AA43" i="11"/>
  <c r="Z43" i="11"/>
  <c r="Y43" i="11"/>
  <c r="X43" i="11"/>
  <c r="W43" i="11"/>
  <c r="V43" i="11"/>
  <c r="U43" i="11"/>
  <c r="AB42" i="11"/>
  <c r="AA42" i="11"/>
  <c r="Z42" i="11"/>
  <c r="Y42" i="11"/>
  <c r="X42" i="11"/>
  <c r="W42" i="11"/>
  <c r="V42" i="11"/>
  <c r="U42" i="11"/>
  <c r="AE45" i="11"/>
  <c r="AD45" i="11"/>
  <c r="AC45" i="11"/>
  <c r="T45" i="11"/>
  <c r="S45" i="11"/>
  <c r="S44" i="11"/>
  <c r="AE43" i="11"/>
  <c r="AD43" i="11"/>
  <c r="AC43" i="11"/>
  <c r="T43" i="11"/>
  <c r="S43" i="11"/>
  <c r="AE42" i="11"/>
  <c r="AD42" i="11"/>
  <c r="AC42" i="11"/>
  <c r="T42" i="11"/>
  <c r="S42" i="11"/>
  <c r="AG45" i="11"/>
  <c r="AF45" i="11"/>
  <c r="R45" i="11"/>
  <c r="R44" i="11"/>
  <c r="AG43" i="11"/>
  <c r="AF43" i="11"/>
  <c r="R43" i="11"/>
  <c r="AG42" i="11"/>
  <c r="AF42" i="11"/>
  <c r="R42" i="11"/>
  <c r="J24" i="4"/>
  <c r="J20" i="4"/>
  <c r="H65" i="4" s="1"/>
  <c r="J65" i="4" s="1"/>
  <c r="V59" i="4"/>
  <c r="V57" i="4"/>
  <c r="V53" i="4"/>
  <c r="V52" i="4"/>
  <c r="S59" i="4"/>
  <c r="R59" i="4"/>
  <c r="Q59" i="4"/>
  <c r="S57" i="4"/>
  <c r="R57" i="4"/>
  <c r="Q57" i="4"/>
  <c r="S55" i="4"/>
  <c r="R55" i="4"/>
  <c r="S53" i="4"/>
  <c r="R53" i="4"/>
  <c r="Q53" i="4"/>
  <c r="S52" i="4"/>
  <c r="R52" i="4"/>
  <c r="Q52" i="4"/>
  <c r="X59" i="4"/>
  <c r="W59" i="4"/>
  <c r="U59" i="4"/>
  <c r="T59" i="4"/>
  <c r="P59" i="4"/>
  <c r="O59" i="4"/>
  <c r="X57" i="4"/>
  <c r="W57" i="4"/>
  <c r="U57" i="4"/>
  <c r="T57" i="4"/>
  <c r="P57" i="4"/>
  <c r="O57" i="4"/>
  <c r="W55" i="4"/>
  <c r="O55" i="4"/>
  <c r="X53" i="4"/>
  <c r="W53" i="4"/>
  <c r="U53" i="4"/>
  <c r="T53" i="4"/>
  <c r="P53" i="4"/>
  <c r="O53" i="4"/>
  <c r="X52" i="4"/>
  <c r="W52" i="4"/>
  <c r="U52" i="4"/>
  <c r="T52" i="4"/>
  <c r="P52" i="4"/>
  <c r="O52" i="4"/>
  <c r="AA59" i="4"/>
  <c r="Z59" i="4"/>
  <c r="Y59" i="4"/>
  <c r="AA57" i="4"/>
  <c r="Z57" i="4"/>
  <c r="Y57" i="4"/>
  <c r="AA55" i="4"/>
  <c r="Z55" i="4"/>
  <c r="AA53" i="4"/>
  <c r="Z53" i="4"/>
  <c r="Y53" i="4"/>
  <c r="AA52" i="4"/>
  <c r="Z52" i="4"/>
  <c r="Y52" i="4"/>
  <c r="AC59" i="4"/>
  <c r="AC57" i="4"/>
  <c r="AC53" i="4"/>
  <c r="AC52" i="4"/>
  <c r="AB59" i="4"/>
  <c r="AB57" i="4"/>
  <c r="AB55" i="4"/>
  <c r="AB53" i="4"/>
  <c r="AB52" i="4"/>
  <c r="Q42" i="11"/>
  <c r="AH42" i="11"/>
  <c r="AI42" i="11"/>
  <c r="Q43" i="11"/>
  <c r="AH43" i="11"/>
  <c r="AI43" i="11"/>
  <c r="Q45" i="11"/>
  <c r="AH45" i="11"/>
  <c r="AI45" i="11"/>
  <c r="M53" i="4"/>
  <c r="N59" i="4"/>
  <c r="M59" i="4"/>
  <c r="L59" i="4"/>
  <c r="J41" i="4"/>
  <c r="J30" i="4"/>
  <c r="J25" i="4"/>
  <c r="J100" i="4" s="1"/>
  <c r="O56" i="11"/>
  <c r="O55" i="11"/>
  <c r="O54" i="11"/>
  <c r="O53" i="11"/>
  <c r="O23" i="11"/>
  <c r="O21" i="11"/>
  <c r="O20" i="11"/>
  <c r="O42" i="11" l="1"/>
  <c r="O48" i="11"/>
  <c r="AK43" i="11"/>
  <c r="AK42" i="11"/>
  <c r="AK48" i="11"/>
  <c r="AK45" i="11"/>
  <c r="AK15" i="11"/>
  <c r="AK44" i="11"/>
  <c r="O15" i="11"/>
  <c r="AH46" i="11"/>
  <c r="AD46" i="11"/>
  <c r="Z46" i="11"/>
  <c r="V46" i="11"/>
  <c r="AE46" i="11"/>
  <c r="AA46" i="11"/>
  <c r="W46" i="11"/>
  <c r="S46" i="11"/>
  <c r="R46" i="11"/>
  <c r="O45" i="11"/>
  <c r="O44" i="11"/>
  <c r="O43" i="11"/>
  <c r="AK46" i="11" l="1"/>
  <c r="O46" i="11"/>
  <c r="J15" i="4" l="1"/>
  <c r="K65" i="4"/>
  <c r="K66" i="4"/>
  <c r="J23" i="4"/>
  <c r="H71" i="4" s="1"/>
  <c r="J71" i="4" s="1"/>
  <c r="K71" i="4" s="1"/>
  <c r="J26" i="4"/>
  <c r="J101" i="4" s="1"/>
  <c r="K101" i="4" s="1"/>
  <c r="J27" i="4"/>
  <c r="J28" i="4"/>
  <c r="H77" i="4" s="1"/>
  <c r="J77" i="4" s="1"/>
  <c r="K77" i="4" s="1"/>
  <c r="J29" i="4"/>
  <c r="J31" i="4"/>
  <c r="H86" i="4" s="1"/>
  <c r="J86" i="4" s="1"/>
  <c r="K86" i="4" s="1"/>
  <c r="J32" i="4"/>
  <c r="J33" i="4"/>
  <c r="H87" i="4" s="1"/>
  <c r="J34" i="4"/>
  <c r="J35" i="4"/>
  <c r="H88" i="4" s="1"/>
  <c r="J88" i="4" s="1"/>
  <c r="J36" i="4"/>
  <c r="J37" i="4"/>
  <c r="H89" i="4" s="1"/>
  <c r="J38" i="4"/>
  <c r="J39" i="4"/>
  <c r="H91" i="4" s="1"/>
  <c r="J40" i="4"/>
  <c r="J93" i="4" s="1"/>
  <c r="J42" i="4"/>
  <c r="H94" i="4" s="1"/>
  <c r="J43" i="4"/>
  <c r="H96" i="4" s="1"/>
  <c r="J96" i="4" s="1"/>
  <c r="J44" i="4"/>
  <c r="J45" i="4"/>
  <c r="H95" i="4" s="1"/>
  <c r="J46" i="4"/>
  <c r="H97" i="4" s="1"/>
  <c r="J97" i="4" s="1"/>
  <c r="J48" i="4"/>
  <c r="L52" i="4"/>
  <c r="M52" i="4"/>
  <c r="N52" i="4"/>
  <c r="AD52" i="4"/>
  <c r="AE52" i="4"/>
  <c r="N53" i="4"/>
  <c r="AD53" i="4"/>
  <c r="AE53" i="4"/>
  <c r="L55" i="4"/>
  <c r="M55" i="4"/>
  <c r="N55" i="4"/>
  <c r="AD55" i="4"/>
  <c r="AE55" i="4"/>
  <c r="M57" i="4"/>
  <c r="N57" i="4"/>
  <c r="AD57" i="4"/>
  <c r="AE57" i="4"/>
  <c r="AD59" i="4"/>
  <c r="AE59" i="4"/>
  <c r="H67" i="4"/>
  <c r="J67" i="4" s="1"/>
  <c r="H68" i="4"/>
  <c r="J68" i="4" s="1"/>
  <c r="K68" i="4" s="1"/>
  <c r="H69" i="4"/>
  <c r="J69" i="4" s="1"/>
  <c r="K69" i="4" s="1"/>
  <c r="H70" i="4"/>
  <c r="J70" i="4" s="1"/>
  <c r="K70" i="4" s="1"/>
  <c r="H72" i="4"/>
  <c r="H73" i="4"/>
  <c r="H74" i="4"/>
  <c r="H75" i="4"/>
  <c r="H81" i="4"/>
  <c r="H82" i="4"/>
  <c r="J82" i="4" s="1"/>
  <c r="K82" i="4" s="1"/>
  <c r="H83" i="4"/>
  <c r="H84" i="4"/>
  <c r="H85" i="4"/>
  <c r="H107" i="4"/>
  <c r="H108" i="4"/>
  <c r="H109" i="4"/>
  <c r="H110" i="4"/>
  <c r="H111" i="4"/>
  <c r="H112" i="4"/>
  <c r="H113" i="4"/>
  <c r="K100" i="4" l="1"/>
  <c r="J99" i="4"/>
  <c r="J81" i="4"/>
  <c r="K81" i="4" s="1"/>
  <c r="J95" i="4"/>
  <c r="H78" i="4"/>
  <c r="J78" i="4" s="1"/>
  <c r="K78" i="4" s="1"/>
  <c r="J74" i="4"/>
  <c r="H80" i="4"/>
  <c r="J80" i="4" s="1"/>
  <c r="H76" i="4"/>
  <c r="P25" i="11"/>
  <c r="AK26" i="11"/>
  <c r="K74" i="4"/>
  <c r="K67" i="4"/>
  <c r="P16" i="11"/>
  <c r="J53" i="4"/>
  <c r="AF24" i="11"/>
  <c r="AF49" i="11" s="1"/>
  <c r="AB24" i="11"/>
  <c r="AB49" i="11" s="1"/>
  <c r="X24" i="11"/>
  <c r="X49" i="11" s="1"/>
  <c r="T24" i="11"/>
  <c r="T49" i="11" s="1"/>
  <c r="P24" i="11"/>
  <c r="P49" i="11" s="1"/>
  <c r="R25" i="11"/>
  <c r="V25" i="11"/>
  <c r="Z25" i="11"/>
  <c r="AD25" i="11"/>
  <c r="AH25" i="11"/>
  <c r="AI24" i="11"/>
  <c r="AI49" i="11" s="1"/>
  <c r="W24" i="11"/>
  <c r="W49" i="11" s="1"/>
  <c r="AI25" i="11"/>
  <c r="AG24" i="11"/>
  <c r="AG49" i="11" s="1"/>
  <c r="AC24" i="11"/>
  <c r="AC49" i="11" s="1"/>
  <c r="Y24" i="11"/>
  <c r="Y49" i="11" s="1"/>
  <c r="U24" i="11"/>
  <c r="U49" i="11" s="1"/>
  <c r="Q24" i="11"/>
  <c r="Q49" i="11" s="1"/>
  <c r="Q25" i="11"/>
  <c r="U25" i="11"/>
  <c r="Y25" i="11"/>
  <c r="AC25" i="11"/>
  <c r="AG25" i="11"/>
  <c r="AH24" i="11"/>
  <c r="AH49" i="11" s="1"/>
  <c r="AD24" i="11"/>
  <c r="AD49" i="11" s="1"/>
  <c r="Z24" i="11"/>
  <c r="Z49" i="11" s="1"/>
  <c r="V24" i="11"/>
  <c r="V49" i="11" s="1"/>
  <c r="R24" i="11"/>
  <c r="R49" i="11" s="1"/>
  <c r="T25" i="11"/>
  <c r="X25" i="11"/>
  <c r="AB25" i="11"/>
  <c r="AF25" i="11"/>
  <c r="AE24" i="11"/>
  <c r="AE49" i="11" s="1"/>
  <c r="AA24" i="11"/>
  <c r="AA49" i="11" s="1"/>
  <c r="S24" i="11"/>
  <c r="S49" i="11" s="1"/>
  <c r="S25" i="11"/>
  <c r="W25" i="11"/>
  <c r="AA25" i="11"/>
  <c r="AE25" i="11"/>
  <c r="U17" i="11"/>
  <c r="R18" i="11"/>
  <c r="V18" i="11"/>
  <c r="Z18" i="11"/>
  <c r="AD18" i="11"/>
  <c r="AH18" i="11"/>
  <c r="T19" i="11"/>
  <c r="X19" i="11"/>
  <c r="AB19" i="11"/>
  <c r="AF19" i="11"/>
  <c r="Q17" i="11"/>
  <c r="P18" i="11"/>
  <c r="S16" i="11"/>
  <c r="AC16" i="11"/>
  <c r="S18" i="11"/>
  <c r="AA18" i="11"/>
  <c r="AI18" i="11"/>
  <c r="Y19" i="11"/>
  <c r="AG19" i="11"/>
  <c r="P17" i="11"/>
  <c r="AD16" i="11"/>
  <c r="S17" i="11"/>
  <c r="AC17" i="11"/>
  <c r="U18" i="11"/>
  <c r="Y18" i="11"/>
  <c r="AC18" i="11"/>
  <c r="AG18" i="11"/>
  <c r="S19" i="11"/>
  <c r="W19" i="11"/>
  <c r="AA19" i="11"/>
  <c r="AE19" i="11"/>
  <c r="AI19" i="11"/>
  <c r="P19" i="11"/>
  <c r="R16" i="11"/>
  <c r="Z16" i="11"/>
  <c r="R17" i="11"/>
  <c r="Z17" i="11"/>
  <c r="T18" i="11"/>
  <c r="X18" i="11"/>
  <c r="AB18" i="11"/>
  <c r="AF18" i="11"/>
  <c r="R19" i="11"/>
  <c r="V19" i="11"/>
  <c r="Z19" i="11"/>
  <c r="AD19" i="11"/>
  <c r="AH19" i="11"/>
  <c r="Q19" i="11"/>
  <c r="Q16" i="11"/>
  <c r="Y16" i="11"/>
  <c r="Y17" i="11"/>
  <c r="W18" i="11"/>
  <c r="AE18" i="11"/>
  <c r="U19" i="11"/>
  <c r="AC19" i="11"/>
  <c r="Q18" i="11"/>
  <c r="U16" i="11"/>
  <c r="V17" i="11"/>
  <c r="AF17" i="11"/>
  <c r="X17" i="11"/>
  <c r="AA16" i="11"/>
  <c r="T16" i="11"/>
  <c r="AF16" i="11"/>
  <c r="W17" i="11"/>
  <c r="AA17" i="11"/>
  <c r="AB17" i="11"/>
  <c r="AG16" i="11"/>
  <c r="AE16" i="11"/>
  <c r="AB16" i="11"/>
  <c r="AE17" i="11"/>
  <c r="AD17" i="11"/>
  <c r="AG17" i="11"/>
  <c r="V16" i="11"/>
  <c r="T17" i="11"/>
  <c r="X16" i="11"/>
  <c r="W16" i="11"/>
  <c r="AI17" i="11"/>
  <c r="AI16" i="11"/>
  <c r="AH17" i="11"/>
  <c r="AH16" i="11"/>
  <c r="K92" i="4"/>
  <c r="J90" i="4"/>
  <c r="K90" i="4" s="1"/>
  <c r="J57" i="4"/>
  <c r="H57" i="4" s="1"/>
  <c r="E57" i="4" s="1"/>
  <c r="J59" i="4"/>
  <c r="H59" i="4" s="1"/>
  <c r="E59" i="4" s="1"/>
  <c r="J55" i="4"/>
  <c r="H55" i="4" s="1"/>
  <c r="E55" i="4" s="1"/>
  <c r="K96" i="4"/>
  <c r="K97" i="4"/>
  <c r="K99" i="4"/>
  <c r="K98" i="4"/>
  <c r="J76" i="4"/>
  <c r="K76" i="4" s="1"/>
  <c r="H79" i="4"/>
  <c r="J79" i="4" s="1"/>
  <c r="K79" i="4" s="1"/>
  <c r="K80" i="4"/>
  <c r="J72" i="4"/>
  <c r="K72" i="4" s="1"/>
  <c r="J91" i="4"/>
  <c r="K91" i="4" s="1"/>
  <c r="J87" i="4"/>
  <c r="K87" i="4" s="1"/>
  <c r="J89" i="4"/>
  <c r="K89" i="4" s="1"/>
  <c r="K93" i="4"/>
  <c r="K95" i="4"/>
  <c r="J83" i="4"/>
  <c r="K83" i="4" s="1"/>
  <c r="J85" i="4"/>
  <c r="K85" i="4" s="1"/>
  <c r="J73" i="4"/>
  <c r="K73" i="4" s="1"/>
  <c r="J94" i="4"/>
  <c r="K94" i="4" s="1"/>
  <c r="J84" i="4"/>
  <c r="K84" i="4" s="1"/>
  <c r="J75" i="4"/>
  <c r="K75" i="4" s="1"/>
  <c r="K88" i="4"/>
  <c r="H53" i="4" l="1"/>
  <c r="E53" i="4" s="1"/>
  <c r="J105" i="4"/>
  <c r="J108" i="4"/>
  <c r="J110" i="4"/>
  <c r="J107" i="4"/>
  <c r="K107" i="4" s="1"/>
  <c r="K105" i="4"/>
  <c r="O26" i="11"/>
  <c r="O52" i="11"/>
  <c r="J106" i="4"/>
  <c r="K106" i="4" s="1"/>
  <c r="P47" i="11"/>
  <c r="P50" i="11" s="1"/>
  <c r="P51" i="11" s="1"/>
  <c r="O49" i="11"/>
  <c r="O25" i="11"/>
  <c r="AK25" i="11"/>
  <c r="Y47" i="11"/>
  <c r="Y50" i="11" s="1"/>
  <c r="Y51" i="11" s="1"/>
  <c r="S47" i="11"/>
  <c r="S50" i="11" s="1"/>
  <c r="S51" i="11" s="1"/>
  <c r="X47" i="11"/>
  <c r="X50" i="11" s="1"/>
  <c r="X51" i="11" s="1"/>
  <c r="AG47" i="11"/>
  <c r="AG50" i="11" s="1"/>
  <c r="AG51" i="11" s="1"/>
  <c r="O19" i="11"/>
  <c r="AK19" i="11"/>
  <c r="O18" i="11"/>
  <c r="AK18" i="11"/>
  <c r="AK49" i="11"/>
  <c r="AK24" i="11"/>
  <c r="O24" i="11"/>
  <c r="AD47" i="11"/>
  <c r="AD50" i="11" s="1"/>
  <c r="AD51" i="11" s="1"/>
  <c r="AF47" i="11"/>
  <c r="AF50" i="11" s="1"/>
  <c r="AF51" i="11" s="1"/>
  <c r="AC47" i="11"/>
  <c r="AC50" i="11" s="1"/>
  <c r="AC51" i="11" s="1"/>
  <c r="V47" i="11"/>
  <c r="V50" i="11" s="1"/>
  <c r="V51" i="11" s="1"/>
  <c r="AB47" i="11"/>
  <c r="AB50" i="11" s="1"/>
  <c r="AB51" i="11" s="1"/>
  <c r="AA47" i="11"/>
  <c r="AA50" i="11" s="1"/>
  <c r="AA51" i="11" s="1"/>
  <c r="U47" i="11"/>
  <c r="U50" i="11" s="1"/>
  <c r="U51" i="11" s="1"/>
  <c r="T47" i="11"/>
  <c r="T50" i="11" s="1"/>
  <c r="T51" i="11" s="1"/>
  <c r="W47" i="11"/>
  <c r="W50" i="11" s="1"/>
  <c r="W51" i="11" s="1"/>
  <c r="AE47" i="11"/>
  <c r="AE50" i="11" s="1"/>
  <c r="AE51" i="11" s="1"/>
  <c r="Z47" i="11"/>
  <c r="Z50" i="11" s="1"/>
  <c r="Z51" i="11" s="1"/>
  <c r="O17" i="11"/>
  <c r="AI47" i="11"/>
  <c r="AI50" i="11" s="1"/>
  <c r="AI51" i="11" s="1"/>
  <c r="R47" i="11"/>
  <c r="R50" i="11" s="1"/>
  <c r="R51" i="11" s="1"/>
  <c r="AH47" i="11"/>
  <c r="AH50" i="11" s="1"/>
  <c r="AH51" i="11" s="1"/>
  <c r="Q47" i="11"/>
  <c r="Q50" i="11" s="1"/>
  <c r="Q51" i="11" s="1"/>
  <c r="AK17" i="11"/>
  <c r="O16" i="11"/>
  <c r="AK16" i="11"/>
  <c r="J109" i="4"/>
  <c r="K109" i="4" s="1"/>
  <c r="J112" i="4"/>
  <c r="K112" i="4" s="1"/>
  <c r="J113" i="4"/>
  <c r="K113" i="4" s="1"/>
  <c r="K110" i="4"/>
  <c r="J111" i="4"/>
  <c r="K111" i="4" s="1"/>
  <c r="K108" i="4"/>
  <c r="J62" i="4" l="1"/>
  <c r="J5" i="4" s="1"/>
  <c r="K5" i="4" s="1"/>
  <c r="L5" i="4" s="1"/>
  <c r="O51" i="11"/>
  <c r="AK51" i="11"/>
  <c r="O47" i="11"/>
  <c r="AK47" i="11"/>
  <c r="J6" i="4" l="1"/>
  <c r="K6" i="4" s="1"/>
  <c r="O50" i="11"/>
  <c r="O58" i="11" s="1"/>
  <c r="AK50" i="11"/>
  <c r="D4" i="11" l="1"/>
  <c r="L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7" authorId="0" shapeId="0" xr:uid="{BB9AE6CD-1D23-4EE8-8E88-5E9F25175EBD}">
      <text>
        <r>
          <rPr>
            <b/>
            <sz val="9"/>
            <color indexed="81"/>
            <rFont val="MS P ゴシック"/>
            <family val="3"/>
            <charset val="128"/>
          </rPr>
          <t>mbtiles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67" authorId="0" shapeId="0" xr:uid="{A90E5592-B612-4C34-B6EE-3B99D99ABD6D}">
      <text>
        <r>
          <rPr>
            <b/>
            <sz val="9"/>
            <color indexed="81"/>
            <rFont val="MS P ゴシック"/>
            <family val="3"/>
            <charset val="128"/>
          </rPr>
          <t>tileserver.dat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67" authorId="0" shapeId="0" xr:uid="{766126C5-4381-446A-953D-E2A0BFA6A287}">
      <text>
        <r>
          <rPr>
            <b/>
            <sz val="9"/>
            <color indexed="81"/>
            <rFont val="MS P ゴシック"/>
            <family val="3"/>
            <charset val="128"/>
          </rPr>
          <t>tm2.dat</t>
        </r>
      </text>
    </comment>
  </commentList>
</comments>
</file>

<file path=xl/sharedStrings.xml><?xml version="1.0" encoding="utf-8"?>
<sst xmlns="http://schemas.openxmlformats.org/spreadsheetml/2006/main" count="979" uniqueCount="472">
  <si>
    <t>GB</t>
  </si>
  <si>
    <t>必要ディスク容量(推奨)</t>
    <rPh sb="9" eb="11">
      <t>スイショウ</t>
    </rPh>
    <phoneticPr fontId="9"/>
  </si>
  <si>
    <t>設定項目</t>
    <rPh sb="2" eb="4">
      <t>コウモク</t>
    </rPh>
    <phoneticPr fontId="9"/>
  </si>
  <si>
    <t>会社数</t>
    <rPh sb="2" eb="3">
      <t>スウ</t>
    </rPh>
    <phoneticPr fontId="9"/>
  </si>
  <si>
    <t>科目数</t>
    <rPh sb="2" eb="3">
      <t>スウ</t>
    </rPh>
    <phoneticPr fontId="9"/>
  </si>
  <si>
    <t>組織数</t>
    <rPh sb="2" eb="3">
      <t>スウ</t>
    </rPh>
    <phoneticPr fontId="9"/>
  </si>
  <si>
    <t>組織階層数</t>
    <rPh sb="4" eb="5">
      <t>スウ</t>
    </rPh>
    <phoneticPr fontId="9"/>
  </si>
  <si>
    <t>機能コード１数</t>
    <rPh sb="6" eb="7">
      <t>スウ</t>
    </rPh>
    <phoneticPr fontId="9"/>
  </si>
  <si>
    <t>機能コード１階層数</t>
    <rPh sb="8" eb="9">
      <t>スウ</t>
    </rPh>
    <phoneticPr fontId="9"/>
  </si>
  <si>
    <t>プロジェクト数</t>
    <rPh sb="6" eb="7">
      <t>スウ</t>
    </rPh>
    <phoneticPr fontId="9"/>
  </si>
  <si>
    <t>プロジェクト階層数</t>
    <rPh sb="8" eb="9">
      <t>スウ</t>
    </rPh>
    <phoneticPr fontId="9"/>
  </si>
  <si>
    <t>取引先数</t>
    <rPh sb="3" eb="4">
      <t>スウ</t>
    </rPh>
    <phoneticPr fontId="9"/>
  </si>
  <si>
    <t>仕入先数</t>
    <phoneticPr fontId="9"/>
  </si>
  <si>
    <t>CF用科目数</t>
    <rPh sb="5" eb="6">
      <t>スウ</t>
    </rPh>
    <phoneticPr fontId="9"/>
  </si>
  <si>
    <t>《業務》</t>
    <rPh sb="1" eb="3">
      <t>ギョウム</t>
    </rPh>
    <phoneticPr fontId="9"/>
  </si>
  <si>
    <t>仕訳伝票明細(貸/借別)</t>
    <rPh sb="4" eb="6">
      <t>メイサイ</t>
    </rPh>
    <rPh sb="7" eb="8">
      <t>タイ</t>
    </rPh>
    <rPh sb="9" eb="10">
      <t>シャク</t>
    </rPh>
    <rPh sb="10" eb="11">
      <t>ベツ</t>
    </rPh>
    <phoneticPr fontId="9"/>
  </si>
  <si>
    <t>0:利用する</t>
    <rPh sb="2" eb="4">
      <t>リヨウ</t>
    </rPh>
    <phoneticPr fontId="9"/>
  </si>
  <si>
    <t>入力値単位</t>
    <rPh sb="0" eb="2">
      <t>ニュウリョク</t>
    </rPh>
    <rPh sb="2" eb="3">
      <t>チ</t>
    </rPh>
    <rPh sb="3" eb="5">
      <t>タンイ</t>
    </rPh>
    <phoneticPr fontId="9"/>
  </si>
  <si>
    <t>CF精算表*Aデータ年数</t>
    <phoneticPr fontId="9"/>
  </si>
  <si>
    <t>A_CF精算表</t>
    <rPh sb="4" eb="6">
      <t>セイサン</t>
    </rPh>
    <rPh sb="6" eb="7">
      <t>ヒョウ</t>
    </rPh>
    <phoneticPr fontId="2"/>
  </si>
  <si>
    <t>$I$58</t>
    <phoneticPr fontId="9"/>
  </si>
  <si>
    <t>CF精算表*データ年数</t>
    <phoneticPr fontId="9"/>
  </si>
  <si>
    <t>T_CF精算表</t>
    <rPh sb="4" eb="6">
      <t>セイサン</t>
    </rPh>
    <rPh sb="6" eb="7">
      <t>ヒョウ</t>
    </rPh>
    <phoneticPr fontId="2"/>
  </si>
  <si>
    <t>実績残高*Aデータ年数</t>
    <phoneticPr fontId="9"/>
  </si>
  <si>
    <t>A_実績残高</t>
    <rPh sb="2" eb="4">
      <t>ジッセキ</t>
    </rPh>
    <rPh sb="4" eb="6">
      <t>ザンダカ</t>
    </rPh>
    <phoneticPr fontId="2"/>
  </si>
  <si>
    <t>$I$54</t>
    <phoneticPr fontId="9"/>
  </si>
  <si>
    <t>実績残高*データ年数</t>
    <phoneticPr fontId="9"/>
  </si>
  <si>
    <t>T_実績残高</t>
    <rPh sb="2" eb="4">
      <t>ジッセキ</t>
    </rPh>
    <rPh sb="4" eb="6">
      <t>ザンダカ</t>
    </rPh>
    <phoneticPr fontId="2"/>
  </si>
  <si>
    <t>単体予算残高*Aデータ年数</t>
    <phoneticPr fontId="9"/>
  </si>
  <si>
    <t>A_単体予算残高</t>
    <rPh sb="2" eb="4">
      <t>タンタイ</t>
    </rPh>
    <rPh sb="4" eb="6">
      <t>ヨサン</t>
    </rPh>
    <rPh sb="6" eb="8">
      <t>ザンダカ</t>
    </rPh>
    <phoneticPr fontId="2"/>
  </si>
  <si>
    <t>$I$56</t>
    <phoneticPr fontId="9"/>
  </si>
  <si>
    <t>単体予算残高*データ年数</t>
    <phoneticPr fontId="9"/>
  </si>
  <si>
    <t>T_単体予算残高</t>
    <rPh sb="2" eb="4">
      <t>タンタイ</t>
    </rPh>
    <rPh sb="4" eb="6">
      <t>ヨサン</t>
    </rPh>
    <rPh sb="6" eb="8">
      <t>ザンダカ</t>
    </rPh>
    <phoneticPr fontId="2"/>
  </si>
  <si>
    <t>$I$14</t>
    <phoneticPr fontId="9"/>
  </si>
  <si>
    <t>仕訳伝票明細*Aデータ年数</t>
    <rPh sb="11" eb="13">
      <t>ネンスウ</t>
    </rPh>
    <phoneticPr fontId="9"/>
  </si>
  <si>
    <t>A_仕訳伝票</t>
    <rPh sb="2" eb="4">
      <t>シワケ</t>
    </rPh>
    <rPh sb="4" eb="6">
      <t>デンピョウ</t>
    </rPh>
    <phoneticPr fontId="2"/>
  </si>
  <si>
    <t>$I$12</t>
    <phoneticPr fontId="9"/>
  </si>
  <si>
    <t>$I$52</t>
    <phoneticPr fontId="9"/>
  </si>
  <si>
    <t>仕訳伝票明細*データ年数</t>
    <rPh sb="10" eb="12">
      <t>ネンスウ</t>
    </rPh>
    <phoneticPr fontId="9"/>
  </si>
  <si>
    <t>T_仕訳伝票</t>
    <rPh sb="2" eb="4">
      <t>シワケ</t>
    </rPh>
    <rPh sb="4" eb="6">
      <t>デンピョウ</t>
    </rPh>
    <phoneticPr fontId="2"/>
  </si>
  <si>
    <t>会社数</t>
    <phoneticPr fontId="9"/>
  </si>
  <si>
    <t>W_更新対象会社</t>
  </si>
  <si>
    <t>ﾃﾞｰﾀ格納
量(Mb)</t>
    <phoneticPr fontId="9"/>
  </si>
  <si>
    <t>ﾃﾞｰﾀ格納
量(Byte)</t>
    <phoneticPr fontId="9"/>
  </si>
  <si>
    <t>ﾃﾞｰﾀ
発生%</t>
    <rPh sb="5" eb="7">
      <t>ハッセイ</t>
    </rPh>
    <phoneticPr fontId="9"/>
  </si>
  <si>
    <t>ﾚｺｰﾄﾞ毎
利用Byte</t>
    <rPh sb="5" eb="6">
      <t>ゴト</t>
    </rPh>
    <rPh sb="7" eb="9">
      <t>リヨウ</t>
    </rPh>
    <phoneticPr fontId="9"/>
  </si>
  <si>
    <t>ﾚｺｰﾄﾞ長
(Byte)</t>
    <phoneticPr fontId="9"/>
  </si>
  <si>
    <t>トランザクション系</t>
    <rPh sb="8" eb="9">
      <t>ケイ</t>
    </rPh>
    <phoneticPr fontId="9"/>
  </si>
  <si>
    <t>№</t>
    <phoneticPr fontId="9"/>
  </si>
  <si>
    <t>$I$44</t>
    <phoneticPr fontId="9"/>
  </si>
  <si>
    <t>仕入先階層数</t>
    <phoneticPr fontId="9"/>
  </si>
  <si>
    <t>M_仕入先エリア階層</t>
    <rPh sb="2" eb="4">
      <t>シイレ</t>
    </rPh>
    <rPh sb="4" eb="5">
      <t>サキ</t>
    </rPh>
    <rPh sb="8" eb="10">
      <t>カイソウ</t>
    </rPh>
    <phoneticPr fontId="2"/>
  </si>
  <si>
    <t>得意先数</t>
    <phoneticPr fontId="9"/>
  </si>
  <si>
    <t>M_得意先エリア階層</t>
    <rPh sb="2" eb="5">
      <t>トクイサキ</t>
    </rPh>
    <rPh sb="8" eb="10">
      <t>カイソウ</t>
    </rPh>
    <phoneticPr fontId="2"/>
  </si>
  <si>
    <t>$I$42</t>
    <phoneticPr fontId="9"/>
  </si>
  <si>
    <t>得意先エリア階層数</t>
    <phoneticPr fontId="9"/>
  </si>
  <si>
    <t>$I$43</t>
    <phoneticPr fontId="9"/>
  </si>
  <si>
    <t>仕入先数</t>
    <phoneticPr fontId="9"/>
  </si>
  <si>
    <t>M_仕入先階層</t>
    <rPh sb="2" eb="4">
      <t>シイレ</t>
    </rPh>
    <rPh sb="4" eb="5">
      <t>サキ</t>
    </rPh>
    <rPh sb="5" eb="7">
      <t>カイソウ</t>
    </rPh>
    <phoneticPr fontId="2"/>
  </si>
  <si>
    <t>$I$41</t>
    <phoneticPr fontId="9"/>
  </si>
  <si>
    <t>得意先階層数</t>
    <phoneticPr fontId="9"/>
  </si>
  <si>
    <t>$I$40</t>
    <phoneticPr fontId="9"/>
  </si>
  <si>
    <t>M_得意先階層</t>
    <rPh sb="2" eb="5">
      <t>トクイサキ</t>
    </rPh>
    <rPh sb="5" eb="7">
      <t>カイソウ</t>
    </rPh>
    <phoneticPr fontId="2"/>
  </si>
  <si>
    <t>$I$39</t>
    <phoneticPr fontId="9"/>
  </si>
  <si>
    <t>取引先数</t>
    <phoneticPr fontId="9"/>
  </si>
  <si>
    <t>M_取引先</t>
    <rPh sb="2" eb="4">
      <t>トリヒキ</t>
    </rPh>
    <rPh sb="4" eb="5">
      <t>サキ</t>
    </rPh>
    <phoneticPr fontId="2"/>
  </si>
  <si>
    <t>$I$46</t>
    <phoneticPr fontId="9"/>
  </si>
  <si>
    <t>社員数</t>
    <phoneticPr fontId="9"/>
  </si>
  <si>
    <t>M_社員</t>
    <rPh sb="2" eb="4">
      <t>シャイン</t>
    </rPh>
    <phoneticPr fontId="2"/>
  </si>
  <si>
    <t>プロジェクト数</t>
    <phoneticPr fontId="9"/>
  </si>
  <si>
    <t>M_プロジェクト階層</t>
    <rPh sb="8" eb="10">
      <t>カイソウ</t>
    </rPh>
    <phoneticPr fontId="2"/>
  </si>
  <si>
    <t>$I$37</t>
    <phoneticPr fontId="9"/>
  </si>
  <si>
    <t>M_プロジェクト</t>
    <phoneticPr fontId="2"/>
  </si>
  <si>
    <t>機能コード４数</t>
  </si>
  <si>
    <t>M_機能コード4階層</t>
    <rPh sb="2" eb="4">
      <t>キノウ</t>
    </rPh>
    <rPh sb="8" eb="10">
      <t>カイソウ</t>
    </rPh>
    <phoneticPr fontId="2"/>
  </si>
  <si>
    <t>機能コード３数</t>
  </si>
  <si>
    <t>M_機能コード3階層</t>
    <rPh sb="2" eb="4">
      <t>キノウ</t>
    </rPh>
    <rPh sb="8" eb="10">
      <t>カイソウ</t>
    </rPh>
    <phoneticPr fontId="2"/>
  </si>
  <si>
    <t>機能コード２数</t>
  </si>
  <si>
    <t>M_機能コード2階層</t>
    <rPh sb="2" eb="4">
      <t>キノウ</t>
    </rPh>
    <rPh sb="8" eb="10">
      <t>カイソウ</t>
    </rPh>
    <phoneticPr fontId="2"/>
  </si>
  <si>
    <t>機能コード１数</t>
    <phoneticPr fontId="9"/>
  </si>
  <si>
    <t>M_機能コード1階層</t>
    <rPh sb="2" eb="4">
      <t>キノウ</t>
    </rPh>
    <rPh sb="8" eb="10">
      <t>カイソウ</t>
    </rPh>
    <phoneticPr fontId="2"/>
  </si>
  <si>
    <t>$I$35</t>
  </si>
  <si>
    <t>M_機能コード4</t>
    <rPh sb="2" eb="4">
      <t>キノウ</t>
    </rPh>
    <phoneticPr fontId="2"/>
  </si>
  <si>
    <t>$I$33</t>
    <phoneticPr fontId="9"/>
  </si>
  <si>
    <t>M_機能コード3</t>
    <rPh sb="2" eb="4">
      <t>キノウ</t>
    </rPh>
    <phoneticPr fontId="2"/>
  </si>
  <si>
    <t>$I$31</t>
  </si>
  <si>
    <t>M_機能コード2</t>
    <rPh sb="2" eb="4">
      <t>キノウ</t>
    </rPh>
    <phoneticPr fontId="2"/>
  </si>
  <si>
    <t>$I$29</t>
    <phoneticPr fontId="9"/>
  </si>
  <si>
    <t>M_機能コード1</t>
    <rPh sb="2" eb="4">
      <t>キノウ</t>
    </rPh>
    <phoneticPr fontId="2"/>
  </si>
  <si>
    <t>会社数</t>
    <phoneticPr fontId="9"/>
  </si>
  <si>
    <t>M_組織デフォルトコード</t>
    <rPh sb="2" eb="4">
      <t>ソシキ</t>
    </rPh>
    <phoneticPr fontId="2"/>
  </si>
  <si>
    <t>組織数</t>
    <phoneticPr fontId="9"/>
  </si>
  <si>
    <t>M_組織デフォルト</t>
    <rPh sb="2" eb="4">
      <t>ソシキ</t>
    </rPh>
    <phoneticPr fontId="2"/>
  </si>
  <si>
    <t>M_組織改正</t>
    <rPh sb="2" eb="4">
      <t>ソシキ</t>
    </rPh>
    <rPh sb="4" eb="6">
      <t>カイセイ</t>
    </rPh>
    <phoneticPr fontId="2"/>
  </si>
  <si>
    <t>M_組織エリア階層</t>
    <rPh sb="2" eb="4">
      <t>ソシキ</t>
    </rPh>
    <rPh sb="7" eb="9">
      <t>カイソウ</t>
    </rPh>
    <phoneticPr fontId="2"/>
  </si>
  <si>
    <t>M_事業領域階層</t>
    <rPh sb="2" eb="4">
      <t>ジギョウ</t>
    </rPh>
    <rPh sb="4" eb="6">
      <t>リョウイキ</t>
    </rPh>
    <rPh sb="6" eb="8">
      <t>カイソウ</t>
    </rPh>
    <phoneticPr fontId="2"/>
  </si>
  <si>
    <t>$G$25</t>
    <phoneticPr fontId="9"/>
  </si>
  <si>
    <t>$I$24</t>
    <phoneticPr fontId="9"/>
  </si>
  <si>
    <t>組織数*組織分類数</t>
    <phoneticPr fontId="9"/>
  </si>
  <si>
    <t>M_組織</t>
    <rPh sb="2" eb="4">
      <t>ソシキ</t>
    </rPh>
    <phoneticPr fontId="2"/>
  </si>
  <si>
    <t>会社数*データ年数*13</t>
    <rPh sb="7" eb="9">
      <t>ネンスウ</t>
    </rPh>
    <phoneticPr fontId="9"/>
  </si>
  <si>
    <t>M_カレンダー</t>
    <phoneticPr fontId="2"/>
  </si>
  <si>
    <t>会社数*データ年数*12</t>
    <rPh sb="7" eb="9">
      <t>ネンスウ</t>
    </rPh>
    <phoneticPr fontId="9"/>
  </si>
  <si>
    <t>M_会計カレンダー</t>
    <rPh sb="2" eb="4">
      <t>カイケイ</t>
    </rPh>
    <phoneticPr fontId="2"/>
  </si>
  <si>
    <t>CF用科目数</t>
    <phoneticPr fontId="9"/>
  </si>
  <si>
    <t>M_CF用科目</t>
    <rPh sb="4" eb="5">
      <t>ヨウ</t>
    </rPh>
    <rPh sb="5" eb="7">
      <t>カモク</t>
    </rPh>
    <phoneticPr fontId="2"/>
  </si>
  <si>
    <t>補助科目数</t>
    <phoneticPr fontId="9"/>
  </si>
  <si>
    <t>M_補助科目</t>
    <rPh sb="2" eb="4">
      <t>ホジョ</t>
    </rPh>
    <rPh sb="4" eb="6">
      <t>カモク</t>
    </rPh>
    <phoneticPr fontId="2"/>
  </si>
  <si>
    <t>科目数</t>
    <phoneticPr fontId="9"/>
  </si>
  <si>
    <t>M_科目階層</t>
    <rPh sb="2" eb="4">
      <t>カモク</t>
    </rPh>
    <rPh sb="4" eb="6">
      <t>カイソウ</t>
    </rPh>
    <phoneticPr fontId="2"/>
  </si>
  <si>
    <t>M_科目集計Y</t>
    <phoneticPr fontId="9"/>
  </si>
  <si>
    <t>M_科目集約</t>
    <rPh sb="2" eb="4">
      <t>カモク</t>
    </rPh>
    <rPh sb="4" eb="6">
      <t>シュウヤク</t>
    </rPh>
    <phoneticPr fontId="2"/>
  </si>
  <si>
    <t>$G$14</t>
  </si>
  <si>
    <t>Aデータ</t>
    <phoneticPr fontId="9"/>
  </si>
  <si>
    <t>M_科目</t>
    <rPh sb="2" eb="4">
      <t>カモク</t>
    </rPh>
    <phoneticPr fontId="2"/>
  </si>
  <si>
    <t>$G$12</t>
    <phoneticPr fontId="9"/>
  </si>
  <si>
    <t>ﾃﾞｰﾀ</t>
    <phoneticPr fontId="9"/>
  </si>
  <si>
    <t>M_会社エリア階層</t>
    <rPh sb="2" eb="4">
      <t>カイシャ</t>
    </rPh>
    <rPh sb="7" eb="9">
      <t>カイソウ</t>
    </rPh>
    <phoneticPr fontId="2"/>
  </si>
  <si>
    <t>$G$21</t>
    <phoneticPr fontId="9"/>
  </si>
  <si>
    <t>M_会社階層</t>
    <rPh sb="2" eb="4">
      <t>カイシャ</t>
    </rPh>
    <rPh sb="4" eb="6">
      <t>カイソウ</t>
    </rPh>
    <phoneticPr fontId="2"/>
  </si>
  <si>
    <t>$I$11</t>
    <phoneticPr fontId="9"/>
  </si>
  <si>
    <t>M_会社</t>
    <rPh sb="2" eb="4">
      <t>カイシャ</t>
    </rPh>
    <phoneticPr fontId="2"/>
  </si>
  <si>
    <t>ﾃﾞｰﾀ格納
量(Mb)</t>
    <phoneticPr fontId="9"/>
  </si>
  <si>
    <t>ﾃﾞｰﾀ格納
量(Byte)</t>
    <phoneticPr fontId="9"/>
  </si>
  <si>
    <t>配列
Byte</t>
    <rPh sb="0" eb="2">
      <t>ハイレツ</t>
    </rPh>
    <phoneticPr fontId="9"/>
  </si>
  <si>
    <t>ベース
Byte</t>
    <phoneticPr fontId="9"/>
  </si>
  <si>
    <t>ﾚｺｰﾄﾞ長
(Byte)</t>
    <phoneticPr fontId="9"/>
  </si>
  <si>
    <t>マスタ系</t>
    <rPh sb="3" eb="4">
      <t>ケイ</t>
    </rPh>
    <phoneticPr fontId="9"/>
  </si>
  <si>
    <t>№</t>
    <phoneticPr fontId="9"/>
  </si>
  <si>
    <t>合計
(Mb)</t>
    <rPh sb="0" eb="2">
      <t>ゴウケイ</t>
    </rPh>
    <phoneticPr fontId="9"/>
  </si>
  <si>
    <t>明細/月</t>
  </si>
  <si>
    <t>　CF精算表明細数</t>
    <phoneticPr fontId="9"/>
  </si>
  <si>
    <t>4億件</t>
    <rPh sb="1" eb="2">
      <t>オク</t>
    </rPh>
    <phoneticPr fontId="9"/>
  </si>
  <si>
    <t>～</t>
    <phoneticPr fontId="9"/>
  </si>
  <si>
    <t>0件</t>
    <phoneticPr fontId="9"/>
  </si>
  <si>
    <t>CF精算表</t>
    <phoneticPr fontId="9"/>
  </si>
  <si>
    <t xml:space="preserve"> 単体予算残高明細数</t>
    <phoneticPr fontId="9"/>
  </si>
  <si>
    <t>単体予算残高</t>
    <phoneticPr fontId="9"/>
  </si>
  <si>
    <t>　実績残高明細数</t>
    <phoneticPr fontId="9"/>
  </si>
  <si>
    <t>実績残高</t>
    <phoneticPr fontId="9"/>
  </si>
  <si>
    <t xml:space="preserve">  仕訳伝票明細数</t>
    <phoneticPr fontId="9"/>
  </si>
  <si>
    <t>会社(5)</t>
  </si>
  <si>
    <t>会社(4)</t>
  </si>
  <si>
    <t>会社(3)</t>
  </si>
  <si>
    <t>会社(2)</t>
  </si>
  <si>
    <t>会社(1)</t>
    <phoneticPr fontId="9"/>
  </si>
  <si>
    <t>設定値計</t>
    <rPh sb="3" eb="4">
      <t>ケイ</t>
    </rPh>
    <phoneticPr fontId="9"/>
  </si>
  <si>
    <t>最大値</t>
    <phoneticPr fontId="9"/>
  </si>
  <si>
    <t>最少値</t>
    <phoneticPr fontId="9"/>
  </si>
  <si>
    <t>社員数</t>
    <rPh sb="2" eb="3">
      <t>スウ</t>
    </rPh>
    <phoneticPr fontId="9"/>
  </si>
  <si>
    <t>5段</t>
    <phoneticPr fontId="9"/>
  </si>
  <si>
    <t>0段</t>
    <phoneticPr fontId="9"/>
  </si>
  <si>
    <t>仕入先エリア階層数</t>
    <phoneticPr fontId="9"/>
  </si>
  <si>
    <t>仕入先階層数</t>
    <phoneticPr fontId="9"/>
  </si>
  <si>
    <t>機能コード４階層数</t>
    <phoneticPr fontId="9"/>
  </si>
  <si>
    <t>機能コード４数</t>
    <phoneticPr fontId="9"/>
  </si>
  <si>
    <t>機能コード３階層数</t>
    <phoneticPr fontId="9"/>
  </si>
  <si>
    <t>機能コード３数</t>
    <phoneticPr fontId="9"/>
  </si>
  <si>
    <t>機能コード２階層数</t>
    <phoneticPr fontId="9"/>
  </si>
  <si>
    <t>機能コード２数</t>
    <phoneticPr fontId="9"/>
  </si>
  <si>
    <t>組織エリア階層数</t>
    <phoneticPr fontId="9"/>
  </si>
  <si>
    <t>事業領域階層</t>
    <phoneticPr fontId="9"/>
  </si>
  <si>
    <t>10段</t>
    <phoneticPr fontId="9"/>
  </si>
  <si>
    <t>1段</t>
    <phoneticPr fontId="9"/>
  </si>
  <si>
    <t>9999件</t>
    <phoneticPr fontId="9"/>
  </si>
  <si>
    <t>1件</t>
    <phoneticPr fontId="9"/>
  </si>
  <si>
    <t>組織分類数</t>
    <phoneticPr fontId="9"/>
  </si>
  <si>
    <t>科目階層</t>
    <phoneticPr fontId="9"/>
  </si>
  <si>
    <t>6件</t>
    <phoneticPr fontId="9"/>
  </si>
  <si>
    <t>会社エリア階層数</t>
    <phoneticPr fontId="9"/>
  </si>
  <si>
    <t>会社階層数</t>
    <phoneticPr fontId="9"/>
  </si>
  <si>
    <t>E株</t>
    <rPh sb="1" eb="2">
      <t>カブ</t>
    </rPh>
    <phoneticPr fontId="9"/>
  </si>
  <si>
    <t>D株</t>
    <rPh sb="1" eb="2">
      <t>カブ</t>
    </rPh>
    <phoneticPr fontId="9"/>
  </si>
  <si>
    <t>設定限界範囲</t>
    <rPh sb="0" eb="2">
      <t>セッテイ</t>
    </rPh>
    <rPh sb="2" eb="4">
      <t>ゲンカイ</t>
    </rPh>
    <rPh sb="4" eb="6">
      <t>ハンイ</t>
    </rPh>
    <phoneticPr fontId="9"/>
  </si>
  <si>
    <t>アーカイブ利用有無</t>
    <rPh sb="5" eb="7">
      <t>リヨウ</t>
    </rPh>
    <rPh sb="7" eb="9">
      <t>ウム</t>
    </rPh>
    <phoneticPr fontId="9"/>
  </si>
  <si>
    <t>1年</t>
    <rPh sb="1" eb="2">
      <t>ネン</t>
    </rPh>
    <phoneticPr fontId="9"/>
  </si>
  <si>
    <t>データ分析対象年数</t>
    <rPh sb="3" eb="5">
      <t>ブンセキ</t>
    </rPh>
    <rPh sb="5" eb="7">
      <t>タイショウ</t>
    </rPh>
    <rPh sb="7" eb="9">
      <t>ネンスウ</t>
    </rPh>
    <phoneticPr fontId="9"/>
  </si>
  <si>
    <t>1社</t>
    <rPh sb="1" eb="2">
      <t>シャ</t>
    </rPh>
    <phoneticPr fontId="9"/>
  </si>
  <si>
    <t>設定値</t>
    <phoneticPr fontId="9"/>
  </si>
  <si>
    <t>《共通》</t>
    <phoneticPr fontId="9"/>
  </si>
  <si>
    <t>必要ディスク容量</t>
    <phoneticPr fontId="9"/>
  </si>
  <si>
    <t>スキーマ</t>
    <phoneticPr fontId="8"/>
  </si>
  <si>
    <t>No.</t>
    <phoneticPr fontId="8"/>
  </si>
  <si>
    <t>エンティティ名</t>
    <phoneticPr fontId="8"/>
  </si>
  <si>
    <t>テーブル名</t>
    <phoneticPr fontId="8"/>
  </si>
  <si>
    <t>集計科目Tマスタ</t>
    <rPh sb="0" eb="2">
      <t>シュウケイ</t>
    </rPh>
    <rPh sb="2" eb="4">
      <t>カモク</t>
    </rPh>
    <phoneticPr fontId="2"/>
  </si>
  <si>
    <t>集計科目Yマスタ</t>
    <rPh sb="0" eb="2">
      <t>シュウケイ</t>
    </rPh>
    <rPh sb="2" eb="4">
      <t>カモク</t>
    </rPh>
    <phoneticPr fontId="2"/>
  </si>
  <si>
    <t>科目階層マスタ</t>
    <rPh sb="0" eb="2">
      <t>カモク</t>
    </rPh>
    <rPh sb="2" eb="4">
      <t>カイソウ</t>
    </rPh>
    <phoneticPr fontId="2"/>
  </si>
  <si>
    <t>科目集約階層マスタ</t>
    <rPh sb="0" eb="2">
      <t>カモク</t>
    </rPh>
    <rPh sb="2" eb="4">
      <t>シュウヤク</t>
    </rPh>
    <rPh sb="4" eb="6">
      <t>カイソウ</t>
    </rPh>
    <phoneticPr fontId="2"/>
  </si>
  <si>
    <t>科目マスタ</t>
    <rPh sb="0" eb="2">
      <t>カモク</t>
    </rPh>
    <phoneticPr fontId="2"/>
  </si>
  <si>
    <t>実績残高マスタ</t>
    <rPh sb="0" eb="2">
      <t>ジッセキ</t>
    </rPh>
    <rPh sb="2" eb="4">
      <t>ザンダカ</t>
    </rPh>
    <phoneticPr fontId="2"/>
  </si>
  <si>
    <t>実績残高未承認ワーク</t>
    <rPh sb="0" eb="2">
      <t>ジッセキ</t>
    </rPh>
    <rPh sb="2" eb="4">
      <t>ザンダカ</t>
    </rPh>
    <rPh sb="4" eb="7">
      <t>ミショウニン</t>
    </rPh>
    <phoneticPr fontId="2"/>
  </si>
  <si>
    <t>単体予算残高マスタ</t>
    <rPh sb="0" eb="2">
      <t>タンタイ</t>
    </rPh>
    <rPh sb="2" eb="4">
      <t>ヨサン</t>
    </rPh>
    <rPh sb="4" eb="6">
      <t>ザンダカ</t>
    </rPh>
    <phoneticPr fontId="2"/>
  </si>
  <si>
    <t>DM_T残高</t>
    <rPh sb="4" eb="6">
      <t>ザンダカ</t>
    </rPh>
    <phoneticPr fontId="2"/>
  </si>
  <si>
    <t>DM_Y残高</t>
    <rPh sb="4" eb="6">
      <t>ザンダカ</t>
    </rPh>
    <phoneticPr fontId="2"/>
  </si>
  <si>
    <t>SSGM</t>
    <phoneticPr fontId="8"/>
  </si>
  <si>
    <t>DBインストールマスタ</t>
    <phoneticPr fontId="8"/>
  </si>
  <si>
    <t>GMDBIMST</t>
    <phoneticPr fontId="8"/>
  </si>
  <si>
    <t>DBインストール履歴マスタ</t>
    <phoneticPr fontId="8"/>
  </si>
  <si>
    <t>GMDBHMST</t>
    <phoneticPr fontId="8"/>
  </si>
  <si>
    <t>ログ管理マスタ</t>
    <phoneticPr fontId="8"/>
  </si>
  <si>
    <t>GMLOGMST</t>
    <phoneticPr fontId="8"/>
  </si>
  <si>
    <t>ログテーブル</t>
    <phoneticPr fontId="8"/>
  </si>
  <si>
    <t>GMLOGTBL</t>
    <phoneticPr fontId="8"/>
  </si>
  <si>
    <t>GMSKTMST</t>
    <phoneticPr fontId="8"/>
  </si>
  <si>
    <t>GMSKYMST</t>
    <phoneticPr fontId="8"/>
  </si>
  <si>
    <t>GMKKAMST</t>
    <phoneticPr fontId="8"/>
  </si>
  <si>
    <t>GMKSSMST</t>
    <phoneticPr fontId="8"/>
  </si>
  <si>
    <t>GMKMKMST</t>
  </si>
  <si>
    <t>GMYSNMST</t>
    <phoneticPr fontId="8"/>
  </si>
  <si>
    <t>GMDMTZAN</t>
    <phoneticPr fontId="8"/>
  </si>
  <si>
    <t>No.</t>
    <phoneticPr fontId="8"/>
  </si>
  <si>
    <t>年</t>
    <rPh sb="0" eb="1">
      <t>ネン</t>
    </rPh>
    <phoneticPr fontId="8"/>
  </si>
  <si>
    <t>GMDMYZAN</t>
    <phoneticPr fontId="8"/>
  </si>
  <si>
    <t>GMZANMST</t>
    <phoneticPr fontId="8"/>
  </si>
  <si>
    <t>GMZANWRK</t>
    <phoneticPr fontId="8"/>
  </si>
  <si>
    <t>&lt;集計処理ログ&gt;</t>
    <rPh sb="1" eb="3">
      <t>シュウケイ</t>
    </rPh>
    <rPh sb="3" eb="5">
      <t>ショリ</t>
    </rPh>
    <phoneticPr fontId="8"/>
  </si>
  <si>
    <t>&lt;NX統合会計&gt;</t>
    <rPh sb="3" eb="5">
      <t>トウゴウ</t>
    </rPh>
    <rPh sb="5" eb="7">
      <t>カイケイ</t>
    </rPh>
    <phoneticPr fontId="8"/>
  </si>
  <si>
    <t>科目マスタ</t>
    <rPh sb="0" eb="2">
      <t>カモク</t>
    </rPh>
    <phoneticPr fontId="8"/>
  </si>
  <si>
    <t>残高マスタ</t>
    <rPh sb="0" eb="2">
      <t>ザンダカ</t>
    </rPh>
    <phoneticPr fontId="8"/>
  </si>
  <si>
    <t>残高ワーク</t>
    <rPh sb="0" eb="2">
      <t>ザンダカ</t>
    </rPh>
    <phoneticPr fontId="8"/>
  </si>
  <si>
    <t>予算マスタ</t>
    <rPh sb="0" eb="2">
      <t>ヨサン</t>
    </rPh>
    <phoneticPr fontId="8"/>
  </si>
  <si>
    <t>ACKMKMST</t>
    <phoneticPr fontId="8"/>
  </si>
  <si>
    <t>GLZANMST</t>
    <phoneticPr fontId="8"/>
  </si>
  <si>
    <t>GLZANWRK</t>
    <phoneticPr fontId="8"/>
  </si>
  <si>
    <t>GLYSNMST</t>
    <phoneticPr fontId="8"/>
  </si>
  <si>
    <t>SSAC</t>
    <phoneticPr fontId="8"/>
  </si>
  <si>
    <t>&lt;NXグループ経営管理&gt;</t>
    <rPh sb="7" eb="9">
      <t>ケイエイ</t>
    </rPh>
    <rPh sb="9" eb="11">
      <t>カンリ</t>
    </rPh>
    <phoneticPr fontId="8"/>
  </si>
  <si>
    <t>①</t>
    <phoneticPr fontId="8"/>
  </si>
  <si>
    <t>②</t>
    <phoneticPr fontId="8"/>
  </si>
  <si>
    <t>⑤</t>
    <phoneticPr fontId="8"/>
  </si>
  <si>
    <t>&lt;3期/5期比較&gt;</t>
    <rPh sb="2" eb="3">
      <t>キ</t>
    </rPh>
    <rPh sb="5" eb="6">
      <t>キ</t>
    </rPh>
    <rPh sb="6" eb="8">
      <t>ヒカク</t>
    </rPh>
    <phoneticPr fontId="8"/>
  </si>
  <si>
    <t>①</t>
    <phoneticPr fontId="16"/>
  </si>
  <si>
    <t>②</t>
    <phoneticPr fontId="16"/>
  </si>
  <si>
    <t>GB</t>
    <phoneticPr fontId="8"/>
  </si>
  <si>
    <t>残高拡張マスタ</t>
    <phoneticPr fontId="8"/>
  </si>
  <si>
    <t>残高拡張ワーク</t>
    <phoneticPr fontId="8"/>
  </si>
  <si>
    <t>取引先・社員残高拡張ワーク</t>
    <phoneticPr fontId="8"/>
  </si>
  <si>
    <t>GLZAKMST</t>
    <phoneticPr fontId="8"/>
  </si>
  <si>
    <t>GLZNKMST</t>
    <phoneticPr fontId="8"/>
  </si>
  <si>
    <t>(MB)</t>
    <phoneticPr fontId="8"/>
  </si>
  <si>
    <t>GLZAKWRK</t>
    <phoneticPr fontId="8"/>
  </si>
  <si>
    <t>GLZNKWRK</t>
    <phoneticPr fontId="8"/>
  </si>
  <si>
    <t>③</t>
    <phoneticPr fontId="8"/>
  </si>
  <si>
    <t>④</t>
    <phoneticPr fontId="8"/>
  </si>
  <si>
    <t>⑥</t>
    <phoneticPr fontId="8"/>
  </si>
  <si>
    <t>⑦</t>
    <phoneticPr fontId="8"/>
  </si>
  <si>
    <t>⑧</t>
    <phoneticPr fontId="8"/>
  </si>
  <si>
    <t>⑨</t>
    <phoneticPr fontId="8"/>
  </si>
  <si>
    <t>&lt;CSV取込&gt;</t>
    <rPh sb="4" eb="6">
      <t>トリコ</t>
    </rPh>
    <phoneticPr fontId="8"/>
  </si>
  <si>
    <t>平均行サイズ
(インデックス領域)</t>
    <phoneticPr fontId="8"/>
  </si>
  <si>
    <t>平均行サイズ
(データ領域)</t>
    <phoneticPr fontId="8"/>
  </si>
  <si>
    <t>必要なサイズ
(全会社計)</t>
    <rPh sb="0" eb="2">
      <t>ヒツヨウ</t>
    </rPh>
    <phoneticPr fontId="8"/>
  </si>
  <si>
    <t>3期比較：1　／　5期比較：2</t>
    <rPh sb="1" eb="2">
      <t>キ</t>
    </rPh>
    <rPh sb="2" eb="4">
      <t>ヒカク</t>
    </rPh>
    <rPh sb="10" eb="11">
      <t>キ</t>
    </rPh>
    <rPh sb="11" eb="13">
      <t>ヒカク</t>
    </rPh>
    <phoneticPr fontId="6"/>
  </si>
  <si>
    <t>ログ保存年数</t>
    <rPh sb="2" eb="4">
      <t>ホゾン</t>
    </rPh>
    <rPh sb="4" eb="6">
      <t>ネンスウ</t>
    </rPh>
    <phoneticPr fontId="6"/>
  </si>
  <si>
    <t>【記入前の準備】</t>
    <rPh sb="1" eb="3">
      <t>キニュウ</t>
    </rPh>
    <rPh sb="3" eb="4">
      <t>マエ</t>
    </rPh>
    <rPh sb="5" eb="7">
      <t>ジュンビ</t>
    </rPh>
    <phoneticPr fontId="8"/>
  </si>
  <si>
    <t>・</t>
    <phoneticPr fontId="8"/>
  </si>
  <si>
    <t>GB</t>
    <phoneticPr fontId="8"/>
  </si>
  <si>
    <t>M_共通予算パターン</t>
  </si>
  <si>
    <t>M_取引先住所</t>
  </si>
  <si>
    <t>M_組織住所</t>
  </si>
  <si>
    <t>アプリケーションサーバ</t>
    <phoneticPr fontId="8"/>
  </si>
  <si>
    <t>必要ディスク容量</t>
    <phoneticPr fontId="8"/>
  </si>
  <si>
    <t>　</t>
    <phoneticPr fontId="8"/>
  </si>
  <si>
    <t>データベースサーバ</t>
    <phoneticPr fontId="8"/>
  </si>
  <si>
    <t>データ名称</t>
    <rPh sb="3" eb="5">
      <t>メイショウ</t>
    </rPh>
    <phoneticPr fontId="8"/>
  </si>
  <si>
    <t>ファイル名</t>
    <rPh sb="4" eb="5">
      <t>メイ</t>
    </rPh>
    <phoneticPr fontId="8"/>
  </si>
  <si>
    <t>total_account_t</t>
    <phoneticPr fontId="8"/>
  </si>
  <si>
    <t>total_account_y</t>
    <phoneticPr fontId="8"/>
  </si>
  <si>
    <t>account_level</t>
    <phoneticPr fontId="8"/>
  </si>
  <si>
    <t>account_intensive</t>
    <phoneticPr fontId="8"/>
  </si>
  <si>
    <t>account</t>
    <phoneticPr fontId="8"/>
  </si>
  <si>
    <t>real_balance</t>
    <phoneticPr fontId="8"/>
  </si>
  <si>
    <t>real_balance_unapproved</t>
    <phoneticPr fontId="8"/>
  </si>
  <si>
    <t>budget_balance_alone</t>
    <phoneticPr fontId="8"/>
  </si>
  <si>
    <t>アーカイブ利用有無</t>
    <phoneticPr fontId="9"/>
  </si>
  <si>
    <t>1:利用しない</t>
    <rPh sb="2" eb="4">
      <t>リヨウ</t>
    </rPh>
    <phoneticPr fontId="9"/>
  </si>
  <si>
    <t>明細/月</t>
    <phoneticPr fontId="9"/>
  </si>
  <si>
    <t>明細/年</t>
    <phoneticPr fontId="9"/>
  </si>
  <si>
    <t>会社(1)
予測行数</t>
    <phoneticPr fontId="8"/>
  </si>
  <si>
    <t>会社(6)</t>
  </si>
  <si>
    <t>会社(7)</t>
  </si>
  <si>
    <t>会社(8)</t>
  </si>
  <si>
    <t>会社(9)</t>
  </si>
  <si>
    <t>会社(10)</t>
  </si>
  <si>
    <t>会社(11)</t>
  </si>
  <si>
    <t>会社(12)</t>
  </si>
  <si>
    <t>会社(13)</t>
  </si>
  <si>
    <t>会社(14)</t>
  </si>
  <si>
    <t>会社(15)</t>
  </si>
  <si>
    <t>会社(16)</t>
  </si>
  <si>
    <t>会社(17)</t>
  </si>
  <si>
    <t>会社(18)</t>
  </si>
  <si>
    <t>会社(19)</t>
  </si>
  <si>
    <t>会社(20)</t>
  </si>
  <si>
    <t>F株</t>
    <rPh sb="1" eb="2">
      <t>カブ</t>
    </rPh>
    <phoneticPr fontId="9"/>
  </si>
  <si>
    <t>G株</t>
    <rPh sb="1" eb="2">
      <t>カブ</t>
    </rPh>
    <phoneticPr fontId="9"/>
  </si>
  <si>
    <t>H株</t>
    <rPh sb="1" eb="2">
      <t>カブ</t>
    </rPh>
    <phoneticPr fontId="9"/>
  </si>
  <si>
    <t>I株</t>
    <rPh sb="1" eb="2">
      <t>カブ</t>
    </rPh>
    <phoneticPr fontId="9"/>
  </si>
  <si>
    <t>J株</t>
    <rPh sb="1" eb="2">
      <t>カブ</t>
    </rPh>
    <phoneticPr fontId="9"/>
  </si>
  <si>
    <t>K株</t>
    <rPh sb="1" eb="2">
      <t>カブ</t>
    </rPh>
    <phoneticPr fontId="9"/>
  </si>
  <si>
    <t>L株</t>
    <rPh sb="1" eb="2">
      <t>カブ</t>
    </rPh>
    <phoneticPr fontId="9"/>
  </si>
  <si>
    <t>M株</t>
    <rPh sb="1" eb="2">
      <t>カブ</t>
    </rPh>
    <phoneticPr fontId="9"/>
  </si>
  <si>
    <t>N株</t>
    <rPh sb="1" eb="2">
      <t>カブ</t>
    </rPh>
    <phoneticPr fontId="9"/>
  </si>
  <si>
    <t>O株</t>
    <rPh sb="1" eb="2">
      <t>カブ</t>
    </rPh>
    <phoneticPr fontId="9"/>
  </si>
  <si>
    <t>P株</t>
    <rPh sb="1" eb="2">
      <t>カブ</t>
    </rPh>
    <phoneticPr fontId="9"/>
  </si>
  <si>
    <t>Q株</t>
    <rPh sb="1" eb="2">
      <t>カブ</t>
    </rPh>
    <phoneticPr fontId="9"/>
  </si>
  <si>
    <t>R株</t>
    <rPh sb="1" eb="2">
      <t>カブ</t>
    </rPh>
    <phoneticPr fontId="9"/>
  </si>
  <si>
    <t>S株</t>
    <rPh sb="1" eb="2">
      <t>カブ</t>
    </rPh>
    <phoneticPr fontId="9"/>
  </si>
  <si>
    <t>設定値計(年)</t>
    <rPh sb="3" eb="4">
      <t>ケイ</t>
    </rPh>
    <rPh sb="5" eb="6">
      <t>ネン</t>
    </rPh>
    <phoneticPr fontId="9"/>
  </si>
  <si>
    <t>会社(2)
予測行数</t>
  </si>
  <si>
    <t>会社(3)
予測行数</t>
  </si>
  <si>
    <t>会社(4)
予測行数</t>
  </si>
  <si>
    <t>会社(5)
予測行数</t>
  </si>
  <si>
    <t>会社(6)
予測行数</t>
  </si>
  <si>
    <t>会社(7)
予測行数</t>
  </si>
  <si>
    <t>会社(8)
予測行数</t>
  </si>
  <si>
    <t>会社(9)
予測行数</t>
  </si>
  <si>
    <t>会社(10)
予測行数</t>
  </si>
  <si>
    <t>会社(11)
予測行数</t>
  </si>
  <si>
    <t>会社(12)
予測行数</t>
  </si>
  <si>
    <t>会社(13)
予測行数</t>
  </si>
  <si>
    <t>会社(14)
予測行数</t>
  </si>
  <si>
    <t>会社(15)
予測行数</t>
  </si>
  <si>
    <t>会社(16)
予測行数</t>
  </si>
  <si>
    <t>会社(17)
予測行数</t>
  </si>
  <si>
    <t>会社(18)
予測行数</t>
  </si>
  <si>
    <t>会社(19)
予測行数</t>
  </si>
  <si>
    <t>会社(20)
予測行数</t>
  </si>
  <si>
    <t>会社(1)
予測行数</t>
    <phoneticPr fontId="8"/>
  </si>
  <si>
    <t>取引先・社員残高拡張マスタ</t>
    <phoneticPr fontId="8"/>
  </si>
  <si>
    <t>科目マスタ(NX以外)</t>
    <rPh sb="0" eb="2">
      <t>カモク</t>
    </rPh>
    <rPh sb="8" eb="10">
      <t>イガイ</t>
    </rPh>
    <phoneticPr fontId="8"/>
  </si>
  <si>
    <t>実績残高マスタ(NX以外)</t>
    <rPh sb="0" eb="2">
      <t>ジッセキ</t>
    </rPh>
    <rPh sb="2" eb="4">
      <t>ザンダカ</t>
    </rPh>
    <phoneticPr fontId="8"/>
  </si>
  <si>
    <t>実績残高未承認ワーク(NX以外)</t>
    <rPh sb="0" eb="2">
      <t>ジッセキ</t>
    </rPh>
    <rPh sb="2" eb="4">
      <t>ザンダカ</t>
    </rPh>
    <rPh sb="4" eb="7">
      <t>ミショウニン</t>
    </rPh>
    <phoneticPr fontId="8"/>
  </si>
  <si>
    <t>予算マスタ(NX以外)</t>
    <rPh sb="0" eb="2">
      <t>ヨサン</t>
    </rPh>
    <phoneticPr fontId="8"/>
  </si>
  <si>
    <t>合計</t>
    <rPh sb="0" eb="2">
      <t>ゴウケイ</t>
    </rPh>
    <phoneticPr fontId="8"/>
  </si>
  <si>
    <t>取引先・社員残高ワーク</t>
    <phoneticPr fontId="8"/>
  </si>
  <si>
    <t>A株</t>
    <rPh sb="1" eb="2">
      <t>カブ</t>
    </rPh>
    <phoneticPr fontId="9"/>
  </si>
  <si>
    <t>B株</t>
    <rPh sb="1" eb="2">
      <t>カブ</t>
    </rPh>
    <phoneticPr fontId="9"/>
  </si>
  <si>
    <t>C株</t>
    <rPh sb="1" eb="2">
      <t>カブ</t>
    </rPh>
    <phoneticPr fontId="9"/>
  </si>
  <si>
    <t>T株</t>
    <rPh sb="1" eb="2">
      <t>カブ</t>
    </rPh>
    <phoneticPr fontId="9"/>
  </si>
  <si>
    <t>会社(2)</t>
    <phoneticPr fontId="8"/>
  </si>
  <si>
    <t>会社(2)
予測行数</t>
    <phoneticPr fontId="8"/>
  </si>
  <si>
    <t>《マスタ》</t>
    <phoneticPr fontId="9"/>
  </si>
  <si>
    <t>NXグループ経営管理(DBサーバ)シートの《マスタ》科目数の内容を反映</t>
    <rPh sb="30" eb="32">
      <t>ナイヨウ</t>
    </rPh>
    <rPh sb="33" eb="35">
      <t>ハンエイ</t>
    </rPh>
    <phoneticPr fontId="8"/>
  </si>
  <si>
    <t>アーカイブ対象年数</t>
    <phoneticPr fontId="9"/>
  </si>
  <si>
    <t xml:space="preserve">取引先・社員残高マスタ </t>
    <phoneticPr fontId="8"/>
  </si>
  <si>
    <t>GLZNTMST</t>
    <phoneticPr fontId="8"/>
  </si>
  <si>
    <t>④</t>
    <phoneticPr fontId="8"/>
  </si>
  <si>
    <t>GLZNTWRK</t>
    <phoneticPr fontId="8"/>
  </si>
  <si>
    <t>⑦</t>
    <phoneticPr fontId="16"/>
  </si>
  <si>
    <t>⑨</t>
    <phoneticPr fontId="8"/>
  </si>
  <si>
    <t>⑩</t>
    <phoneticPr fontId="8"/>
  </si>
  <si>
    <t>⑩</t>
    <phoneticPr fontId="16"/>
  </si>
  <si>
    <t>仕訳伝票明細トラン</t>
    <rPh sb="0" eb="2">
      <t>シワケ</t>
    </rPh>
    <rPh sb="2" eb="4">
      <t>デンピョウ</t>
    </rPh>
    <rPh sb="4" eb="6">
      <t>メイサイ</t>
    </rPh>
    <phoneticPr fontId="8"/>
  </si>
  <si>
    <t>GLSWMTRN</t>
    <phoneticPr fontId="8"/>
  </si>
  <si>
    <t>残高ワークデータは上記②～⑤の件数に含まれます。基本的に入力の必要はありません。</t>
    <rPh sb="0" eb="2">
      <t>ザンダカ</t>
    </rPh>
    <rPh sb="9" eb="11">
      <t>ジョウキ</t>
    </rPh>
    <rPh sb="15" eb="17">
      <t>ケンスウ</t>
    </rPh>
    <rPh sb="18" eb="19">
      <t>フク</t>
    </rPh>
    <rPh sb="24" eb="26">
      <t>キホン</t>
    </rPh>
    <rPh sb="26" eb="27">
      <t>テキ</t>
    </rPh>
    <rPh sb="28" eb="30">
      <t>ニュウリョク</t>
    </rPh>
    <rPh sb="31" eb="33">
      <t>ヒツヨウ</t>
    </rPh>
    <phoneticPr fontId="8"/>
  </si>
  <si>
    <t>⑪</t>
    <phoneticPr fontId="8"/>
  </si>
  <si>
    <t>⑪</t>
    <phoneticPr fontId="16"/>
  </si>
  <si>
    <t>NXグループ経営管理(DBサーバ)シートの《業務》実績残高と《共通》データ分析対象年数・アーカイブ対象年数より自動算出</t>
    <rPh sb="25" eb="27">
      <t>ジッセキ</t>
    </rPh>
    <rPh sb="27" eb="29">
      <t>ザンダカ</t>
    </rPh>
    <rPh sb="55" eb="57">
      <t>ジドウ</t>
    </rPh>
    <rPh sb="57" eb="59">
      <t>サンシュツ</t>
    </rPh>
    <phoneticPr fontId="8"/>
  </si>
  <si>
    <t>NXグループ経営管理(DBサーバ)シートの《マスタ》得意先数・仕入先数・社員数と《共通》データ分析対象年数・アーカイブ対象年数より自動算出</t>
    <rPh sb="65" eb="67">
      <t>ジドウ</t>
    </rPh>
    <phoneticPr fontId="8"/>
  </si>
  <si>
    <t>NXグループ経営管理(DBサーバ)シートの《業務》単体予算残高と《共通》データ分析対象年数・アーカイブ対象年数より自動算出</t>
    <rPh sb="25" eb="27">
      <t>タンタイ</t>
    </rPh>
    <rPh sb="27" eb="29">
      <t>ヨサン</t>
    </rPh>
    <rPh sb="29" eb="31">
      <t>ザンダカ</t>
    </rPh>
    <rPh sb="57" eb="59">
      <t>ジドウ</t>
    </rPh>
    <phoneticPr fontId="8"/>
  </si>
  <si>
    <t>NXグループ経営管理(DBサーバ)シートの《業務》仕訳伝票明細(貸/借別)と《共通》データ分析対象年数・アーカイブ対象年数より自動算出</t>
    <rPh sb="25" eb="27">
      <t>シワケ</t>
    </rPh>
    <rPh sb="27" eb="29">
      <t>デンピョウ</t>
    </rPh>
    <rPh sb="29" eb="31">
      <t>メイサイ</t>
    </rPh>
    <rPh sb="32" eb="33">
      <t>カシ</t>
    </rPh>
    <rPh sb="34" eb="35">
      <t>シャク</t>
    </rPh>
    <rPh sb="35" eb="36">
      <t>ベツ</t>
    </rPh>
    <rPh sb="63" eb="65">
      <t>ジドウ</t>
    </rPh>
    <phoneticPr fontId="8"/>
  </si>
  <si>
    <t>CSV取込の予測件数を記入　※集計科目Tマスタ・集計科目Yマスタ・科目集約階層マスタについては、会社をALL指定する場合、1社だけ件数を設定してください。</t>
    <rPh sb="3" eb="5">
      <t>トリコ</t>
    </rPh>
    <rPh sb="6" eb="8">
      <t>ヨソク</t>
    </rPh>
    <rPh sb="8" eb="10">
      <t>ケンスウ</t>
    </rPh>
    <rPh sb="11" eb="13">
      <t>キニュウ</t>
    </rPh>
    <rPh sb="48" eb="50">
      <t>カイシャ</t>
    </rPh>
    <rPh sb="54" eb="56">
      <t>シテイ</t>
    </rPh>
    <rPh sb="58" eb="60">
      <t>バアイ</t>
    </rPh>
    <rPh sb="62" eb="63">
      <t>シャ</t>
    </rPh>
    <rPh sb="65" eb="67">
      <t>ケンスウ</t>
    </rPh>
    <rPh sb="68" eb="70">
      <t>セッテイ</t>
    </rPh>
    <phoneticPr fontId="8"/>
  </si>
  <si>
    <t>⑫</t>
    <phoneticPr fontId="8"/>
  </si>
  <si>
    <t>⑬</t>
    <phoneticPr fontId="8"/>
  </si>
  <si>
    <t>NXグループ経営管理(DBサーバ)シートの《マスタ》科目数と科目階層より自動算出</t>
    <rPh sb="26" eb="28">
      <t>カモク</t>
    </rPh>
    <rPh sb="28" eb="29">
      <t>スウ</t>
    </rPh>
    <rPh sb="30" eb="32">
      <t>カモク</t>
    </rPh>
    <rPh sb="32" eb="34">
      <t>カイソウ</t>
    </rPh>
    <rPh sb="36" eb="38">
      <t>ジドウ</t>
    </rPh>
    <phoneticPr fontId="8"/>
  </si>
  <si>
    <t>合計</t>
    <rPh sb="0" eb="2">
      <t>ゴウケイ</t>
    </rPh>
    <phoneticPr fontId="8"/>
  </si>
  <si>
    <t>NXグループ経営管理(DBサーバ)の容量計算を行ってください。</t>
    <rPh sb="18" eb="20">
      <t>ヨウリョウ</t>
    </rPh>
    <rPh sb="20" eb="22">
      <t>ケイサン</t>
    </rPh>
    <rPh sb="23" eb="24">
      <t>オコナ</t>
    </rPh>
    <phoneticPr fontId="8"/>
  </si>
  <si>
    <t>集計対象会社が20社を超える場合、列を挿入してください。</t>
    <rPh sb="0" eb="2">
      <t>シュウケイ</t>
    </rPh>
    <rPh sb="2" eb="4">
      <t>タイショウ</t>
    </rPh>
    <rPh sb="4" eb="6">
      <t>ガイシャ</t>
    </rPh>
    <rPh sb="14" eb="16">
      <t>バアイ</t>
    </rPh>
    <phoneticPr fontId="8"/>
  </si>
  <si>
    <t>【記入方法】</t>
    <rPh sb="1" eb="3">
      <t>キニュウ</t>
    </rPh>
    <rPh sb="3" eb="5">
      <t>ホウホウ</t>
    </rPh>
    <phoneticPr fontId="8"/>
  </si>
  <si>
    <t>NXグループ経営管理(DBサーバ)の入力内容に基づき、予測件数を自動算出します。</t>
    <rPh sb="18" eb="20">
      <t>ニュウリョク</t>
    </rPh>
    <rPh sb="20" eb="22">
      <t>ナイヨウ</t>
    </rPh>
    <rPh sb="23" eb="24">
      <t>モト</t>
    </rPh>
    <phoneticPr fontId="8"/>
  </si>
  <si>
    <r>
      <t>挿入後、追加された列に</t>
    </r>
    <r>
      <rPr>
        <b/>
        <sz val="9"/>
        <color rgb="FFFF0000"/>
        <rFont val="メイリオ"/>
        <family val="3"/>
        <charset val="128"/>
      </rPr>
      <t>赤枠</t>
    </r>
    <r>
      <rPr>
        <sz val="9"/>
        <rFont val="メイリオ"/>
        <family val="3"/>
        <charset val="128"/>
      </rPr>
      <t>の式を反映してください。</t>
    </r>
    <rPh sb="0" eb="2">
      <t>ソウニュウ</t>
    </rPh>
    <rPh sb="2" eb="3">
      <t>ゴ</t>
    </rPh>
    <rPh sb="4" eb="6">
      <t>ツイカ</t>
    </rPh>
    <rPh sb="9" eb="10">
      <t>レツ</t>
    </rPh>
    <rPh sb="11" eb="12">
      <t>アカ</t>
    </rPh>
    <rPh sb="12" eb="13">
      <t>ワク</t>
    </rPh>
    <phoneticPr fontId="8"/>
  </si>
  <si>
    <t>黄色の網掛けセルに予測件数を設定してください。</t>
    <rPh sb="0" eb="2">
      <t>キイロ</t>
    </rPh>
    <rPh sb="3" eb="5">
      <t>アミカ</t>
    </rPh>
    <rPh sb="9" eb="11">
      <t>ヨソク</t>
    </rPh>
    <rPh sb="11" eb="13">
      <t>ケンスウ</t>
    </rPh>
    <rPh sb="14" eb="16">
      <t>セッテイ</t>
    </rPh>
    <phoneticPr fontId="8"/>
  </si>
  <si>
    <t>&lt;CSV取込&gt;会社単位に設定してください。</t>
    <rPh sb="4" eb="6">
      <t>トリコ</t>
    </rPh>
    <rPh sb="7" eb="9">
      <t>カイシャ</t>
    </rPh>
    <rPh sb="9" eb="11">
      <t>タンイ</t>
    </rPh>
    <rPh sb="12" eb="14">
      <t>セッテイ</t>
    </rPh>
    <phoneticPr fontId="8"/>
  </si>
  <si>
    <t>&lt;3期/5期比較&gt;の区分を設定してください。</t>
    <rPh sb="10" eb="12">
      <t>クブン</t>
    </rPh>
    <rPh sb="13" eb="15">
      <t>セッテイ</t>
    </rPh>
    <phoneticPr fontId="8"/>
  </si>
  <si>
    <t>&lt;集計処理ログ&gt;の保存年数を設定してください。</t>
    <rPh sb="9" eb="11">
      <t>ホゾン</t>
    </rPh>
    <rPh sb="11" eb="13">
      <t>ネンスウ</t>
    </rPh>
    <rPh sb="14" eb="16">
      <t>セッテイ</t>
    </rPh>
    <phoneticPr fontId="8"/>
  </si>
  <si>
    <t>　　集計バッチの実行ログをDBに保存しています。</t>
    <rPh sb="2" eb="4">
      <t>シュウケイ</t>
    </rPh>
    <rPh sb="8" eb="10">
      <t>ジッコウ</t>
    </rPh>
    <rPh sb="16" eb="18">
      <t>ホゾン</t>
    </rPh>
    <phoneticPr fontId="8"/>
  </si>
  <si>
    <t xml:space="preserve">     3年程度で十分なので基本的に変更の必要はありません。</t>
    <rPh sb="6" eb="7">
      <t>ネン</t>
    </rPh>
    <rPh sb="7" eb="9">
      <t>テイド</t>
    </rPh>
    <rPh sb="10" eb="12">
      <t>ジュウブン</t>
    </rPh>
    <rPh sb="15" eb="17">
      <t>キホン</t>
    </rPh>
    <rPh sb="17" eb="18">
      <t>テキ</t>
    </rPh>
    <rPh sb="19" eb="21">
      <t>ヘンコウ</t>
    </rPh>
    <rPh sb="22" eb="24">
      <t>ヒツヨウ</t>
    </rPh>
    <phoneticPr fontId="8"/>
  </si>
  <si>
    <t>※空き容量含む</t>
    <rPh sb="5" eb="6">
      <t>フク</t>
    </rPh>
    <phoneticPr fontId="8"/>
  </si>
  <si>
    <t>Standard</t>
    <phoneticPr fontId="8"/>
  </si>
  <si>
    <t>Black</t>
    <phoneticPr fontId="8"/>
  </si>
  <si>
    <t>BlankMap_White</t>
    <phoneticPr fontId="8"/>
  </si>
  <si>
    <t>BlankMap_Black</t>
    <phoneticPr fontId="8"/>
  </si>
  <si>
    <t>Level 13</t>
  </si>
  <si>
    <t>Level 14</t>
  </si>
  <si>
    <t>Level 15</t>
  </si>
  <si>
    <t>Level 17</t>
  </si>
  <si>
    <t>Level 18</t>
  </si>
  <si>
    <t>日本</t>
    <phoneticPr fontId="8"/>
  </si>
  <si>
    <t>使用しない</t>
  </si>
  <si>
    <t>SimpleField</t>
    <phoneticPr fontId="8"/>
  </si>
  <si>
    <t>会計カレンダー</t>
    <rPh sb="0" eb="2">
      <t>カイケイ</t>
    </rPh>
    <phoneticPr fontId="8"/>
  </si>
  <si>
    <t>ACCALMST</t>
    <phoneticPr fontId="8"/>
  </si>
  <si>
    <t>SSAC</t>
    <phoneticPr fontId="8"/>
  </si>
  <si>
    <t>SSAC</t>
    <phoneticPr fontId="8"/>
  </si>
  <si>
    <t>―</t>
    <phoneticPr fontId="8"/>
  </si>
  <si>
    <t>⑭</t>
    <phoneticPr fontId="8"/>
  </si>
  <si>
    <t>NXグループ経営管理(DBサーバ)シートの《共通》会社数・データ分析対象年数・アーカイブ対象年数より自動算出</t>
    <rPh sb="22" eb="24">
      <t>キョウツウ</t>
    </rPh>
    <rPh sb="25" eb="27">
      <t>カイシャ</t>
    </rPh>
    <rPh sb="27" eb="28">
      <t>スウ</t>
    </rPh>
    <rPh sb="50" eb="52">
      <t>ジドウ</t>
    </rPh>
    <rPh sb="52" eb="54">
      <t>サンシュツ</t>
    </rPh>
    <phoneticPr fontId="8"/>
  </si>
  <si>
    <t>補完会計カレンダー(NXの会計カレンダー以外)</t>
    <rPh sb="0" eb="2">
      <t>ホカン</t>
    </rPh>
    <rPh sb="2" eb="4">
      <t>カイケイ</t>
    </rPh>
    <rPh sb="13" eb="15">
      <t>カイケイ</t>
    </rPh>
    <phoneticPr fontId="8"/>
  </si>
  <si>
    <t>complement_calendar</t>
    <phoneticPr fontId="8"/>
  </si>
  <si>
    <t>補完会計カレンダー</t>
    <rPh sb="0" eb="2">
      <t>ホカン</t>
    </rPh>
    <rPh sb="2" eb="4">
      <t>カイケイ</t>
    </rPh>
    <phoneticPr fontId="8"/>
  </si>
  <si>
    <t>GMHCLMST</t>
    <phoneticPr fontId="8"/>
  </si>
  <si>
    <t>⑫</t>
    <phoneticPr fontId="8"/>
  </si>
  <si>
    <t>⑬</t>
    <phoneticPr fontId="8"/>
  </si>
  <si>
    <t>W_削除Key連携</t>
    <phoneticPr fontId="8"/>
  </si>
  <si>
    <t>明細/月</t>
    <phoneticPr fontId="8"/>
  </si>
  <si>
    <t>データ量</t>
    <rPh sb="3" eb="4">
      <t>リョウ</t>
    </rPh>
    <phoneticPr fontId="8"/>
  </si>
  <si>
    <t>想定使用量</t>
    <rPh sb="0" eb="2">
      <t>ソウテイ</t>
    </rPh>
    <rPh sb="2" eb="4">
      <t>シヨウ</t>
    </rPh>
    <rPh sb="4" eb="5">
      <t>リョウ</t>
    </rPh>
    <phoneticPr fontId="8"/>
  </si>
  <si>
    <t>作業領域(空)</t>
    <rPh sb="0" eb="2">
      <t>サギョウ</t>
    </rPh>
    <rPh sb="2" eb="4">
      <t>リョウイキ</t>
    </rPh>
    <rPh sb="5" eb="6">
      <t>アキ</t>
    </rPh>
    <phoneticPr fontId="8"/>
  </si>
  <si>
    <t>オプション</t>
    <phoneticPr fontId="8"/>
  </si>
  <si>
    <t>※オプションは目安です。</t>
    <rPh sb="7" eb="9">
      <t>メヤス</t>
    </rPh>
    <phoneticPr fontId="8"/>
  </si>
  <si>
    <t>レコード
利用効率</t>
    <rPh sb="5" eb="7">
      <t>リヨウ</t>
    </rPh>
    <rPh sb="7" eb="9">
      <t>コウリツ</t>
    </rPh>
    <phoneticPr fontId="9"/>
  </si>
  <si>
    <t>分析集計データベース(Oracleサーバ)</t>
    <rPh sb="0" eb="2">
      <t>ブンセキ</t>
    </rPh>
    <rPh sb="2" eb="4">
      <t>シュウケイ</t>
    </rPh>
    <phoneticPr fontId="6"/>
  </si>
  <si>
    <t>解凍時</t>
    <rPh sb="0" eb="2">
      <t>カイトウ</t>
    </rPh>
    <rPh sb="2" eb="3">
      <t>ジ</t>
    </rPh>
    <phoneticPr fontId="8"/>
  </si>
  <si>
    <t>ZIP時</t>
    <phoneticPr fontId="8"/>
  </si>
  <si>
    <t>STATIC MAP</t>
    <phoneticPr fontId="8"/>
  </si>
  <si>
    <t>Sample Japan</t>
    <phoneticPr fontId="8"/>
  </si>
  <si>
    <t>Sample Tokyo</t>
    <phoneticPr fontId="8"/>
  </si>
  <si>
    <t>Level 1-11</t>
    <phoneticPr fontId="8"/>
  </si>
  <si>
    <t>Level 12</t>
    <phoneticPr fontId="8"/>
  </si>
  <si>
    <t>Level 16</t>
  </si>
  <si>
    <t>日本地図の提供</t>
    <phoneticPr fontId="8"/>
  </si>
  <si>
    <t>世界地図の提供</t>
    <phoneticPr fontId="8"/>
  </si>
  <si>
    <t>オーストラリア地図の提供</t>
    <phoneticPr fontId="8"/>
  </si>
  <si>
    <t>シンガポール地図の提供</t>
    <phoneticPr fontId="8"/>
  </si>
  <si>
    <t>中国地図の提供</t>
    <phoneticPr fontId="8"/>
  </si>
  <si>
    <t>ヴィクトリア州地図の提供</t>
    <phoneticPr fontId="8"/>
  </si>
  <si>
    <t>地図データの動的生成プログラム</t>
    <phoneticPr fontId="8"/>
  </si>
  <si>
    <t>マップスタイル定義ファイル</t>
    <phoneticPr fontId="8"/>
  </si>
  <si>
    <t>地図の基データ</t>
    <phoneticPr fontId="8"/>
  </si>
  <si>
    <t>DYNAMIC MAP</t>
    <phoneticPr fontId="8"/>
  </si>
  <si>
    <t>※ROUTEデータは「ROUTEデータ日本のみ」もしくは「ROUTEデータ世界」のどちらか</t>
    <phoneticPr fontId="8"/>
  </si>
  <si>
    <t>GEOコーディング住所変換データ</t>
    <phoneticPr fontId="8"/>
  </si>
  <si>
    <t>GEOコーディングIPアドレス変換データ</t>
    <phoneticPr fontId="8"/>
  </si>
  <si>
    <t>GEO　CODING</t>
    <phoneticPr fontId="8"/>
  </si>
  <si>
    <t>ROUTE　DATA</t>
    <phoneticPr fontId="8"/>
  </si>
  <si>
    <t>世界</t>
    <phoneticPr fontId="8"/>
  </si>
  <si>
    <t>使用する</t>
    <phoneticPr fontId="8"/>
  </si>
  <si>
    <t>使用しない</t>
    <phoneticPr fontId="8"/>
  </si>
  <si>
    <t>使用選択</t>
    <rPh sb="2" eb="4">
      <t>センタク</t>
    </rPh>
    <phoneticPr fontId="8"/>
  </si>
  <si>
    <t>―</t>
    <phoneticPr fontId="8"/>
  </si>
  <si>
    <t>使用区分</t>
    <rPh sb="2" eb="4">
      <t>クブン</t>
    </rPh>
    <phoneticPr fontId="8"/>
  </si>
  <si>
    <t>Level</t>
    <phoneticPr fontId="8"/>
  </si>
  <si>
    <t>計(GB)</t>
    <rPh sb="0" eb="1">
      <t>ケイ</t>
    </rPh>
    <phoneticPr fontId="8"/>
  </si>
  <si>
    <t>インストール後</t>
    <phoneticPr fontId="8"/>
  </si>
  <si>
    <t>作業領域(空き容量)</t>
    <rPh sb="0" eb="2">
      <t>サギョウ</t>
    </rPh>
    <rPh sb="2" eb="4">
      <t>リョウイキ</t>
    </rPh>
    <rPh sb="5" eb="6">
      <t>ア</t>
    </rPh>
    <rPh sb="7" eb="9">
      <t>ヨウリョウ</t>
    </rPh>
    <phoneticPr fontId="8"/>
  </si>
  <si>
    <t>する</t>
  </si>
  <si>
    <t>しない</t>
  </si>
  <si>
    <t>RC Service　を　利用する</t>
    <rPh sb="13" eb="15">
      <t>リヨウ</t>
    </rPh>
    <phoneticPr fontId="8"/>
  </si>
  <si>
    <t>GEO アイテムを使用する。</t>
    <phoneticPr fontId="8"/>
  </si>
  <si>
    <t>インストール後もインストーラ―等をサーバー内のディスク内に残す</t>
    <rPh sb="6" eb="7">
      <t>ゴ</t>
    </rPh>
    <rPh sb="15" eb="16">
      <t>トウ</t>
    </rPh>
    <rPh sb="21" eb="22">
      <t>ナイ</t>
    </rPh>
    <rPh sb="27" eb="28">
      <t>ナイ</t>
    </rPh>
    <rPh sb="29" eb="30">
      <t>ノコ</t>
    </rPh>
    <phoneticPr fontId="8"/>
  </si>
  <si>
    <t>GIS(地図)ダウンロードデータ等の解凍前をサーバー内のディスク内に残す。</t>
    <rPh sb="4" eb="6">
      <t>チズ</t>
    </rPh>
    <rPh sb="16" eb="17">
      <t>トウ</t>
    </rPh>
    <rPh sb="18" eb="20">
      <t>カイトウ</t>
    </rPh>
    <rPh sb="20" eb="21">
      <t>マエ</t>
    </rPh>
    <phoneticPr fontId="8"/>
  </si>
  <si>
    <t>次期バージョンアップ時を考慮する。</t>
    <rPh sb="0" eb="2">
      <t>ジキ</t>
    </rPh>
    <rPh sb="10" eb="11">
      <t>ジ</t>
    </rPh>
    <rPh sb="12" eb="14">
      <t>コウリョ</t>
    </rPh>
    <phoneticPr fontId="8"/>
  </si>
  <si>
    <t>する</t>
    <phoneticPr fontId="8"/>
  </si>
  <si>
    <t>しない</t>
    <phoneticPr fontId="8"/>
  </si>
  <si>
    <t>利用方針</t>
    <rPh sb="0" eb="2">
      <t>リヨウ</t>
    </rPh>
    <rPh sb="2" eb="4">
      <t>ホウシン</t>
    </rPh>
    <phoneticPr fontId="8"/>
  </si>
  <si>
    <t>(1) サーバーインストールに関する質問</t>
    <rPh sb="15" eb="16">
      <t>カン</t>
    </rPh>
    <rPh sb="18" eb="20">
      <t>シツモン</t>
    </rPh>
    <phoneticPr fontId="8"/>
  </si>
  <si>
    <t>Agent を　サーバーにインストールする。</t>
    <phoneticPr fontId="8"/>
  </si>
  <si>
    <t>回答</t>
    <rPh sb="0" eb="2">
      <t>カイトウ</t>
    </rPh>
    <phoneticPr fontId="8"/>
  </si>
  <si>
    <t>質    問</t>
    <phoneticPr fontId="8"/>
  </si>
  <si>
    <t>インストーラー等</t>
    <phoneticPr fontId="8"/>
  </si>
  <si>
    <t>基計(GB)</t>
    <rPh sb="0" eb="1">
      <t>モト</t>
    </rPh>
    <rPh sb="1" eb="2">
      <t>ケイ</t>
    </rPh>
    <phoneticPr fontId="8"/>
  </si>
  <si>
    <t>(2).GEOアイテム利用時に追加する地図データを選択</t>
    <rPh sb="11" eb="13">
      <t>リヨウ</t>
    </rPh>
    <rPh sb="13" eb="14">
      <t>ジ</t>
    </rPh>
    <rPh sb="15" eb="17">
      <t>ツイカ</t>
    </rPh>
    <rPh sb="19" eb="21">
      <t>チズ</t>
    </rPh>
    <rPh sb="25" eb="27">
      <t>センタク</t>
    </rPh>
    <phoneticPr fontId="8"/>
  </si>
  <si>
    <t>選択設定の箇所</t>
    <rPh sb="0" eb="2">
      <t>センタク</t>
    </rPh>
    <rPh sb="2" eb="4">
      <t>セッテイ</t>
    </rPh>
    <rPh sb="5" eb="7">
      <t>カショ</t>
    </rPh>
    <phoneticPr fontId="8"/>
  </si>
  <si>
    <t>M_科目集計T</t>
    <phoneticPr fontId="9"/>
  </si>
  <si>
    <t>M_組織分類コード</t>
    <phoneticPr fontId="8"/>
  </si>
  <si>
    <t>M_組織分類改定コード</t>
    <phoneticPr fontId="8"/>
  </si>
  <si>
    <t>データ削除管理マスタ</t>
    <phoneticPr fontId="8"/>
  </si>
  <si>
    <t>GMDELMST</t>
    <phoneticPr fontId="8"/>
  </si>
  <si>
    <t>使用しない</t>
    <phoneticPr fontId="8"/>
  </si>
  <si>
    <r>
      <t xml:space="preserve">SuperStream-NX </t>
    </r>
    <r>
      <rPr>
        <b/>
        <sz val="20"/>
        <color theme="1"/>
        <rFont val="メイリオ"/>
        <family val="3"/>
        <charset val="128"/>
      </rPr>
      <t>グループ経営管理</t>
    </r>
    <r>
      <rPr>
        <b/>
        <sz val="20"/>
        <color theme="1"/>
        <rFont val="Tahoma"/>
        <family val="2"/>
      </rPr>
      <t>2026-06-01</t>
    </r>
    <r>
      <rPr>
        <b/>
        <sz val="20"/>
        <color theme="1"/>
        <rFont val="メイリオ"/>
        <family val="3"/>
        <charset val="128"/>
      </rPr>
      <t>版</t>
    </r>
    <r>
      <rPr>
        <b/>
        <sz val="20"/>
        <color theme="1"/>
        <rFont val="Tahoma"/>
        <family val="2"/>
      </rPr>
      <t xml:space="preserve"> (Ver.2.9.0)</t>
    </r>
    <rPh sb="19" eb="21">
      <t>ケイエイ</t>
    </rPh>
    <rPh sb="21" eb="23">
      <t>カンリ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</si>
</sst>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#,###,###,##0.00"/>
    <numFmt numFmtId="177" formatCode="#,##0_ "/>
    <numFmt numFmtId="178" formatCode="#,##0.000000_ "/>
    <numFmt numFmtId="179" formatCode="#,##0.0000_ "/>
    <numFmt numFmtId="180" formatCode="#,##0.00_);[Red]\(#,##0.00\)"/>
    <numFmt numFmtId="181" formatCode="0.00_);[Red]\(0.00\)"/>
    <numFmt numFmtId="182" formatCode="#,##0.00_ "/>
    <numFmt numFmtId="183" formatCode="#,##0.00_ ;[Red]\-#,##0.00\ "/>
    <numFmt numFmtId="184" formatCode="0_);[Red]\(0\)"/>
  </numFmts>
  <fonts count="51">
    <font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0"/>
      <name val="ＭＳ ゴシック"/>
      <family val="2"/>
      <charset val="128"/>
    </font>
    <font>
      <sz val="11"/>
      <color theme="0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12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20"/>
      <color theme="1"/>
      <name val="Tahoma"/>
      <family val="2"/>
    </font>
    <font>
      <b/>
      <sz val="20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name val="Tahoma"/>
      <family val="2"/>
    </font>
    <font>
      <b/>
      <sz val="18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2"/>
      <name val="ＭＳ ゴシック"/>
      <family val="2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hair">
        <color auto="1"/>
      </left>
      <right/>
      <top style="thin">
        <color auto="1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theme="0"/>
      </bottom>
      <diagonal/>
    </border>
    <border>
      <left/>
      <right style="hair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64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10" fillId="0" borderId="0">
      <alignment vertical="center"/>
    </xf>
    <xf numFmtId="0" fontId="1" fillId="0" borderId="0">
      <alignment vertical="center"/>
    </xf>
  </cellStyleXfs>
  <cellXfs count="391">
    <xf numFmtId="0" fontId="0" fillId="0" borderId="0" xfId="0">
      <alignment vertical="center"/>
    </xf>
    <xf numFmtId="0" fontId="3" fillId="0" borderId="1" xfId="2" applyBorder="1"/>
    <xf numFmtId="0" fontId="5" fillId="0" borderId="2" xfId="2" applyFont="1" applyBorder="1"/>
    <xf numFmtId="0" fontId="3" fillId="0" borderId="2" xfId="2" applyBorder="1"/>
    <xf numFmtId="0" fontId="3" fillId="0" borderId="4" xfId="2" applyBorder="1"/>
    <xf numFmtId="0" fontId="3" fillId="0" borderId="0" xfId="2"/>
    <xf numFmtId="0" fontId="5" fillId="0" borderId="0" xfId="2" applyFont="1"/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0" xfId="4">
      <alignment vertical="center"/>
    </xf>
    <xf numFmtId="0" fontId="11" fillId="0" borderId="0" xfId="4" applyFont="1">
      <alignment vertical="center"/>
    </xf>
    <xf numFmtId="178" fontId="11" fillId="0" borderId="0" xfId="4" applyNumberFormat="1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178" fontId="11" fillId="0" borderId="22" xfId="4" applyNumberFormat="1" applyFont="1" applyBorder="1" applyAlignment="1">
      <alignment vertical="center" shrinkToFit="1"/>
    </xf>
    <xf numFmtId="177" fontId="11" fillId="0" borderId="23" xfId="4" applyNumberFormat="1" applyFont="1" applyBorder="1" applyAlignment="1">
      <alignment vertical="center" shrinkToFit="1"/>
    </xf>
    <xf numFmtId="0" fontId="11" fillId="0" borderId="23" xfId="4" applyFont="1" applyBorder="1">
      <alignment vertical="center"/>
    </xf>
    <xf numFmtId="0" fontId="15" fillId="0" borderId="23" xfId="4" applyFont="1" applyBorder="1" applyAlignment="1"/>
    <xf numFmtId="0" fontId="11" fillId="0" borderId="24" xfId="4" applyFont="1" applyBorder="1">
      <alignment vertical="center"/>
    </xf>
    <xf numFmtId="178" fontId="11" fillId="0" borderId="25" xfId="4" applyNumberFormat="1" applyFont="1" applyBorder="1" applyAlignment="1">
      <alignment vertical="center" shrinkToFit="1"/>
    </xf>
    <xf numFmtId="0" fontId="11" fillId="0" borderId="26" xfId="4" applyFont="1" applyBorder="1">
      <alignment vertical="center"/>
    </xf>
    <xf numFmtId="0" fontId="15" fillId="0" borderId="26" xfId="4" applyFont="1" applyBorder="1" applyAlignment="1"/>
    <xf numFmtId="0" fontId="11" fillId="0" borderId="27" xfId="4" applyFont="1" applyBorder="1">
      <alignment vertical="center"/>
    </xf>
    <xf numFmtId="178" fontId="14" fillId="7" borderId="22" xfId="4" applyNumberFormat="1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 wrapText="1"/>
    </xf>
    <xf numFmtId="0" fontId="17" fillId="7" borderId="23" xfId="4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/>
    </xf>
    <xf numFmtId="0" fontId="14" fillId="7" borderId="24" xfId="4" applyFont="1" applyFill="1" applyBorder="1" applyAlignment="1">
      <alignment horizontal="center" vertical="center"/>
    </xf>
    <xf numFmtId="0" fontId="15" fillId="0" borderId="23" xfId="4" applyFont="1" applyBorder="1" applyAlignment="1">
      <alignment horizontal="right" vertical="center"/>
    </xf>
    <xf numFmtId="49" fontId="13" fillId="0" borderId="0" xfId="4" applyNumberFormat="1" applyFont="1">
      <alignment vertical="center"/>
    </xf>
    <xf numFmtId="178" fontId="14" fillId="7" borderId="25" xfId="4" applyNumberFormat="1" applyFont="1" applyFill="1" applyBorder="1" applyAlignment="1">
      <alignment horizontal="center" vertical="center" wrapText="1"/>
    </xf>
    <xf numFmtId="0" fontId="14" fillId="7" borderId="26" xfId="4" applyFont="1" applyFill="1" applyBorder="1" applyAlignment="1">
      <alignment horizontal="center" vertical="center" wrapText="1"/>
    </xf>
    <xf numFmtId="0" fontId="17" fillId="7" borderId="26" xfId="4" applyFont="1" applyFill="1" applyBorder="1" applyAlignment="1">
      <alignment horizontal="center" vertical="center" wrapText="1"/>
    </xf>
    <xf numFmtId="0" fontId="14" fillId="7" borderId="28" xfId="4" applyFont="1" applyFill="1" applyBorder="1" applyAlignment="1">
      <alignment horizontal="center" vertical="center"/>
    </xf>
    <xf numFmtId="0" fontId="14" fillId="7" borderId="29" xfId="4" applyFont="1" applyFill="1" applyBorder="1" applyAlignment="1">
      <alignment horizontal="center" vertical="center"/>
    </xf>
    <xf numFmtId="0" fontId="17" fillId="7" borderId="32" xfId="4" applyFont="1" applyFill="1" applyBorder="1" applyAlignment="1">
      <alignment horizontal="center" vertical="center" wrapText="1"/>
    </xf>
    <xf numFmtId="0" fontId="17" fillId="7" borderId="33" xfId="4" applyFont="1" applyFill="1" applyBorder="1" applyAlignment="1">
      <alignment horizontal="center" vertical="center"/>
    </xf>
    <xf numFmtId="0" fontId="18" fillId="0" borderId="0" xfId="4" applyFont="1">
      <alignment vertical="center"/>
    </xf>
    <xf numFmtId="0" fontId="11" fillId="0" borderId="35" xfId="4" applyFont="1" applyBorder="1">
      <alignment vertical="center"/>
    </xf>
    <xf numFmtId="0" fontId="11" fillId="0" borderId="38" xfId="4" applyFont="1" applyBorder="1" applyAlignment="1">
      <alignment horizontal="right" vertical="center"/>
    </xf>
    <xf numFmtId="0" fontId="11" fillId="0" borderId="37" xfId="4" applyFont="1" applyBorder="1">
      <alignment vertical="center"/>
    </xf>
    <xf numFmtId="0" fontId="14" fillId="7" borderId="42" xfId="4" applyFont="1" applyFill="1" applyBorder="1" applyAlignment="1">
      <alignment horizontal="center" vertical="center"/>
    </xf>
    <xf numFmtId="0" fontId="14" fillId="7" borderId="49" xfId="4" applyFont="1" applyFill="1" applyBorder="1" applyAlignment="1">
      <alignment horizontal="center" vertical="center"/>
    </xf>
    <xf numFmtId="0" fontId="14" fillId="7" borderId="51" xfId="4" applyFont="1" applyFill="1" applyBorder="1" applyAlignment="1">
      <alignment horizontal="center" vertical="center"/>
    </xf>
    <xf numFmtId="0" fontId="11" fillId="0" borderId="54" xfId="4" applyFont="1" applyBorder="1" applyAlignment="1">
      <alignment horizontal="right" vertical="center"/>
    </xf>
    <xf numFmtId="0" fontId="11" fillId="0" borderId="55" xfId="4" applyFont="1" applyBorder="1" applyAlignment="1">
      <alignment horizontal="center" vertical="center"/>
    </xf>
    <xf numFmtId="0" fontId="11" fillId="0" borderId="56" xfId="4" applyFont="1" applyBorder="1" applyAlignment="1">
      <alignment horizontal="right" vertical="center"/>
    </xf>
    <xf numFmtId="0" fontId="11" fillId="0" borderId="57" xfId="4" applyFont="1" applyBorder="1" applyAlignment="1">
      <alignment horizontal="right" vertical="center"/>
    </xf>
    <xf numFmtId="0" fontId="11" fillId="0" borderId="17" xfId="4" applyFont="1" applyBorder="1">
      <alignment vertical="center"/>
    </xf>
    <xf numFmtId="0" fontId="11" fillId="0" borderId="58" xfId="4" applyFont="1" applyBorder="1" applyAlignment="1">
      <alignment horizontal="right" vertical="center"/>
    </xf>
    <xf numFmtId="0" fontId="11" fillId="0" borderId="59" xfId="4" applyFont="1" applyBorder="1" applyAlignment="1">
      <alignment horizontal="center" vertical="center"/>
    </xf>
    <xf numFmtId="0" fontId="11" fillId="0" borderId="60" xfId="4" applyFont="1" applyBorder="1" applyAlignment="1">
      <alignment horizontal="right" vertical="center"/>
    </xf>
    <xf numFmtId="0" fontId="11" fillId="0" borderId="61" xfId="4" applyFont="1" applyBorder="1" applyAlignment="1">
      <alignment horizontal="right" vertical="center"/>
    </xf>
    <xf numFmtId="0" fontId="14" fillId="7" borderId="62" xfId="4" applyFont="1" applyFill="1" applyBorder="1" applyAlignment="1">
      <alignment horizontal="center" vertical="center"/>
    </xf>
    <xf numFmtId="0" fontId="14" fillId="7" borderId="52" xfId="4" applyFont="1" applyFill="1" applyBorder="1" applyAlignment="1">
      <alignment horizontal="center" vertical="center"/>
    </xf>
    <xf numFmtId="0" fontId="11" fillId="4" borderId="54" xfId="4" applyFont="1" applyFill="1" applyBorder="1">
      <alignment vertical="center"/>
    </xf>
    <xf numFmtId="0" fontId="11" fillId="4" borderId="55" xfId="4" applyFont="1" applyFill="1" applyBorder="1">
      <alignment vertical="center"/>
    </xf>
    <xf numFmtId="0" fontId="11" fillId="4" borderId="56" xfId="4" applyFont="1" applyFill="1" applyBorder="1">
      <alignment vertical="center"/>
    </xf>
    <xf numFmtId="0" fontId="11" fillId="4" borderId="57" xfId="4" applyFont="1" applyFill="1" applyBorder="1">
      <alignment vertical="center"/>
    </xf>
    <xf numFmtId="0" fontId="14" fillId="7" borderId="65" xfId="4" applyFont="1" applyFill="1" applyBorder="1" applyAlignment="1">
      <alignment horizontal="center" vertical="center"/>
    </xf>
    <xf numFmtId="177" fontId="10" fillId="0" borderId="0" xfId="4" applyNumberFormat="1">
      <alignment vertical="center"/>
    </xf>
    <xf numFmtId="0" fontId="19" fillId="0" borderId="0" xfId="0" applyFont="1" applyAlignment="1">
      <alignment horizontal="right" vertical="top"/>
    </xf>
    <xf numFmtId="177" fontId="19" fillId="0" borderId="17" xfId="0" applyNumberFormat="1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179" fontId="19" fillId="0" borderId="17" xfId="0" applyNumberFormat="1" applyFont="1" applyBorder="1" applyAlignment="1">
      <alignment vertical="top"/>
    </xf>
    <xf numFmtId="0" fontId="11" fillId="0" borderId="0" xfId="0" applyFont="1">
      <alignment vertical="center"/>
    </xf>
    <xf numFmtId="0" fontId="21" fillId="0" borderId="0" xfId="2" applyFont="1" applyAlignment="1">
      <alignment vertical="center"/>
    </xf>
    <xf numFmtId="0" fontId="20" fillId="8" borderId="12" xfId="0" applyFont="1" applyFill="1" applyBorder="1" applyAlignment="1">
      <alignment horizontal="center" vertical="top"/>
    </xf>
    <xf numFmtId="177" fontId="19" fillId="0" borderId="0" xfId="0" applyNumberFormat="1" applyFont="1" applyAlignment="1">
      <alignment vertical="top"/>
    </xf>
    <xf numFmtId="0" fontId="23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top"/>
    </xf>
    <xf numFmtId="179" fontId="19" fillId="0" borderId="16" xfId="0" applyNumberFormat="1" applyFont="1" applyBorder="1" applyAlignment="1">
      <alignment vertical="top"/>
    </xf>
    <xf numFmtId="0" fontId="23" fillId="0" borderId="0" xfId="2" applyFont="1" applyAlignment="1">
      <alignment vertical="top"/>
    </xf>
    <xf numFmtId="0" fontId="23" fillId="0" borderId="0" xfId="2" applyFont="1"/>
    <xf numFmtId="0" fontId="23" fillId="0" borderId="0" xfId="0" applyFont="1">
      <alignment vertical="center"/>
    </xf>
    <xf numFmtId="0" fontId="23" fillId="0" borderId="18" xfId="0" applyFont="1" applyBorder="1" applyAlignment="1">
      <alignment horizontal="right" vertical="center"/>
    </xf>
    <xf numFmtId="179" fontId="19" fillId="0" borderId="18" xfId="0" applyNumberFormat="1" applyFont="1" applyBorder="1" applyAlignment="1">
      <alignment vertical="top"/>
    </xf>
    <xf numFmtId="0" fontId="20" fillId="8" borderId="76" xfId="0" applyFont="1" applyFill="1" applyBorder="1" applyAlignment="1">
      <alignment horizontal="center" vertical="top"/>
    </xf>
    <xf numFmtId="0" fontId="19" fillId="0" borderId="72" xfId="0" applyFont="1" applyBorder="1" applyAlignment="1">
      <alignment horizontal="center" vertical="center"/>
    </xf>
    <xf numFmtId="0" fontId="23" fillId="0" borderId="72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179" fontId="19" fillId="0" borderId="0" xfId="0" applyNumberFormat="1" applyFont="1" applyAlignment="1">
      <alignment vertical="top"/>
    </xf>
    <xf numFmtId="0" fontId="20" fillId="8" borderId="73" xfId="0" applyFont="1" applyFill="1" applyBorder="1" applyAlignment="1">
      <alignment horizontal="center" vertical="center" wrapText="1"/>
    </xf>
    <xf numFmtId="0" fontId="20" fillId="8" borderId="73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1" fillId="0" borderId="14" xfId="0" applyFont="1" applyBorder="1">
      <alignment vertical="center"/>
    </xf>
    <xf numFmtId="0" fontId="22" fillId="0" borderId="17" xfId="2" applyFont="1" applyBorder="1" applyAlignment="1">
      <alignment vertical="center"/>
    </xf>
    <xf numFmtId="0" fontId="26" fillId="0" borderId="0" xfId="3" applyFont="1" applyAlignment="1" applyProtection="1">
      <alignment vertical="center"/>
      <protection hidden="1"/>
    </xf>
    <xf numFmtId="177" fontId="25" fillId="0" borderId="0" xfId="0" applyNumberFormat="1" applyFont="1" applyAlignment="1"/>
    <xf numFmtId="177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27" fillId="0" borderId="2" xfId="4" applyFont="1" applyBorder="1">
      <alignment vertical="center"/>
    </xf>
    <xf numFmtId="0" fontId="11" fillId="0" borderId="2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14" xfId="4" applyFont="1" applyBorder="1">
      <alignment vertical="center"/>
    </xf>
    <xf numFmtId="0" fontId="11" fillId="0" borderId="67" xfId="4" applyFont="1" applyBorder="1">
      <alignment vertical="center"/>
    </xf>
    <xf numFmtId="0" fontId="12" fillId="0" borderId="1" xfId="4" applyFont="1" applyBorder="1">
      <alignment vertical="center"/>
    </xf>
    <xf numFmtId="178" fontId="11" fillId="0" borderId="2" xfId="4" applyNumberFormat="1" applyFont="1" applyBorder="1">
      <alignment vertical="center"/>
    </xf>
    <xf numFmtId="178" fontId="11" fillId="0" borderId="14" xfId="4" applyNumberFormat="1" applyFont="1" applyBorder="1">
      <alignment vertical="center"/>
    </xf>
    <xf numFmtId="0" fontId="30" fillId="0" borderId="0" xfId="4" applyFont="1" applyAlignment="1">
      <alignment vertical="top"/>
    </xf>
    <xf numFmtId="0" fontId="19" fillId="0" borderId="17" xfId="0" applyFont="1" applyBorder="1" applyAlignment="1">
      <alignment vertical="top"/>
    </xf>
    <xf numFmtId="38" fontId="19" fillId="0" borderId="0" xfId="0" applyNumberFormat="1" applyFont="1" applyAlignment="1">
      <alignment vertical="top"/>
    </xf>
    <xf numFmtId="0" fontId="15" fillId="0" borderId="4" xfId="2" applyFont="1" applyBorder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top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24" fillId="0" borderId="0" xfId="0" applyFont="1">
      <alignment vertical="center"/>
    </xf>
    <xf numFmtId="0" fontId="20" fillId="8" borderId="40" xfId="0" applyFont="1" applyFill="1" applyBorder="1" applyAlignment="1">
      <alignment horizontal="center" vertical="center"/>
    </xf>
    <xf numFmtId="0" fontId="20" fillId="8" borderId="73" xfId="0" applyFont="1" applyFill="1" applyBorder="1" applyAlignment="1">
      <alignment horizontal="center" vertical="top"/>
    </xf>
    <xf numFmtId="0" fontId="19" fillId="0" borderId="18" xfId="0" applyFont="1" applyBorder="1" applyAlignment="1">
      <alignment vertical="top"/>
    </xf>
    <xf numFmtId="0" fontId="15" fillId="0" borderId="6" xfId="2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20" fillId="8" borderId="17" xfId="4" applyFont="1" applyFill="1" applyBorder="1" applyAlignment="1">
      <alignment horizontal="center" vertical="center" wrapText="1"/>
    </xf>
    <xf numFmtId="177" fontId="19" fillId="0" borderId="77" xfId="0" applyNumberFormat="1" applyFont="1" applyBorder="1" applyAlignment="1">
      <alignment vertical="top"/>
    </xf>
    <xf numFmtId="177" fontId="19" fillId="0" borderId="78" xfId="0" applyNumberFormat="1" applyFont="1" applyBorder="1" applyAlignment="1">
      <alignment vertical="top"/>
    </xf>
    <xf numFmtId="177" fontId="19" fillId="0" borderId="79" xfId="0" applyNumberFormat="1" applyFont="1" applyBorder="1" applyAlignment="1">
      <alignment vertical="top"/>
    </xf>
    <xf numFmtId="177" fontId="19" fillId="0" borderId="80" xfId="0" applyNumberFormat="1" applyFont="1" applyBorder="1" applyAlignment="1">
      <alignment vertical="top"/>
    </xf>
    <xf numFmtId="177" fontId="19" fillId="0" borderId="81" xfId="0" applyNumberFormat="1" applyFont="1" applyBorder="1" applyAlignment="1">
      <alignment vertical="top"/>
    </xf>
    <xf numFmtId="177" fontId="19" fillId="0" borderId="82" xfId="0" applyNumberFormat="1" applyFont="1" applyBorder="1" applyAlignment="1">
      <alignment vertical="top"/>
    </xf>
    <xf numFmtId="177" fontId="19" fillId="0" borderId="83" xfId="0" applyNumberFormat="1" applyFont="1" applyBorder="1" applyAlignment="1">
      <alignment vertical="top"/>
    </xf>
    <xf numFmtId="49" fontId="11" fillId="0" borderId="9" xfId="4" applyNumberFormat="1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177" fontId="23" fillId="0" borderId="17" xfId="0" applyNumberFormat="1" applyFont="1" applyBorder="1" applyAlignment="1">
      <alignment vertical="top"/>
    </xf>
    <xf numFmtId="0" fontId="19" fillId="0" borderId="17" xfId="0" applyFont="1" applyBorder="1" applyAlignment="1">
      <alignment horizontal="center" vertical="center"/>
    </xf>
    <xf numFmtId="38" fontId="19" fillId="0" borderId="0" xfId="1" applyFont="1" applyAlignment="1">
      <alignment vertical="top"/>
    </xf>
    <xf numFmtId="0" fontId="23" fillId="0" borderId="17" xfId="0" applyFont="1" applyBorder="1" applyAlignment="1">
      <alignment vertical="top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179" fontId="23" fillId="0" borderId="17" xfId="0" applyNumberFormat="1" applyFont="1" applyBorder="1" applyAlignment="1">
      <alignment vertical="top"/>
    </xf>
    <xf numFmtId="0" fontId="15" fillId="0" borderId="17" xfId="4" applyFont="1" applyBorder="1">
      <alignment vertical="center"/>
    </xf>
    <xf numFmtId="177" fontId="23" fillId="5" borderId="17" xfId="0" applyNumberFormat="1" applyFont="1" applyFill="1" applyBorder="1" applyAlignment="1">
      <alignment vertical="top"/>
    </xf>
    <xf numFmtId="0" fontId="23" fillId="0" borderId="18" xfId="0" applyFont="1" applyBorder="1" applyAlignment="1">
      <alignment vertical="top"/>
    </xf>
    <xf numFmtId="0" fontId="19" fillId="10" borderId="17" xfId="0" applyFont="1" applyFill="1" applyBorder="1" applyAlignment="1">
      <alignment horizontal="center" vertical="top"/>
    </xf>
    <xf numFmtId="177" fontId="15" fillId="5" borderId="17" xfId="4" applyNumberFormat="1" applyFont="1" applyFill="1" applyBorder="1" applyAlignment="1">
      <alignment horizontal="right" vertical="center"/>
    </xf>
    <xf numFmtId="0" fontId="31" fillId="0" borderId="0" xfId="2" applyFont="1"/>
    <xf numFmtId="0" fontId="31" fillId="0" borderId="0" xfId="0" applyFont="1">
      <alignment vertical="center"/>
    </xf>
    <xf numFmtId="0" fontId="21" fillId="5" borderId="17" xfId="0" applyFont="1" applyFill="1" applyBorder="1">
      <alignment vertical="center"/>
    </xf>
    <xf numFmtId="177" fontId="23" fillId="0" borderId="18" xfId="0" applyNumberFormat="1" applyFont="1" applyBorder="1" applyAlignment="1">
      <alignment vertical="top"/>
    </xf>
    <xf numFmtId="0" fontId="23" fillId="0" borderId="72" xfId="0" applyFont="1" applyBorder="1" applyAlignment="1">
      <alignment horizontal="center" vertical="center"/>
    </xf>
    <xf numFmtId="177" fontId="23" fillId="0" borderId="17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vertical="center" shrinkToFit="1"/>
    </xf>
    <xf numFmtId="177" fontId="19" fillId="0" borderId="84" xfId="0" applyNumberFormat="1" applyFont="1" applyBorder="1" applyAlignment="1">
      <alignment vertical="top"/>
    </xf>
    <xf numFmtId="177" fontId="19" fillId="0" borderId="85" xfId="0" applyNumberFormat="1" applyFont="1" applyBorder="1" applyAlignment="1">
      <alignment vertical="top"/>
    </xf>
    <xf numFmtId="177" fontId="19" fillId="0" borderId="86" xfId="0" applyNumberFormat="1" applyFont="1" applyBorder="1" applyAlignment="1">
      <alignment vertical="top"/>
    </xf>
    <xf numFmtId="0" fontId="33" fillId="0" borderId="0" xfId="4" applyFont="1" applyAlignment="1">
      <alignment vertical="top"/>
    </xf>
    <xf numFmtId="0" fontId="34" fillId="0" borderId="2" xfId="3" applyFont="1" applyBorder="1" applyAlignment="1">
      <alignment vertical="top"/>
    </xf>
    <xf numFmtId="0" fontId="35" fillId="0" borderId="0" xfId="2" applyFont="1" applyAlignment="1">
      <alignment horizontal="left" vertical="top"/>
    </xf>
    <xf numFmtId="0" fontId="19" fillId="0" borderId="2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38" fontId="21" fillId="3" borderId="17" xfId="1" applyFont="1" applyFill="1" applyBorder="1" applyAlignment="1">
      <alignment vertical="center"/>
    </xf>
    <xf numFmtId="0" fontId="19" fillId="0" borderId="14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0" fontId="10" fillId="0" borderId="3" xfId="4" applyBorder="1">
      <alignment vertical="center"/>
    </xf>
    <xf numFmtId="0" fontId="10" fillId="0" borderId="5" xfId="4" applyBorder="1">
      <alignment vertical="center"/>
    </xf>
    <xf numFmtId="0" fontId="10" fillId="0" borderId="15" xfId="4" applyBorder="1">
      <alignment vertical="center"/>
    </xf>
    <xf numFmtId="176" fontId="36" fillId="2" borderId="7" xfId="2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0" fontId="37" fillId="0" borderId="0" xfId="4" applyFont="1">
      <alignment vertical="center"/>
    </xf>
    <xf numFmtId="0" fontId="15" fillId="0" borderId="0" xfId="4" applyFont="1">
      <alignment vertical="center"/>
    </xf>
    <xf numFmtId="178" fontId="15" fillId="0" borderId="0" xfId="4" applyNumberFormat="1" applyFont="1">
      <alignment vertical="center"/>
    </xf>
    <xf numFmtId="0" fontId="38" fillId="0" borderId="0" xfId="4" applyFont="1">
      <alignment vertical="center"/>
    </xf>
    <xf numFmtId="183" fontId="32" fillId="9" borderId="88" xfId="1" applyNumberFormat="1" applyFont="1" applyFill="1" applyBorder="1">
      <alignment vertical="center"/>
    </xf>
    <xf numFmtId="183" fontId="32" fillId="9" borderId="89" xfId="1" applyNumberFormat="1" applyFont="1" applyFill="1" applyBorder="1">
      <alignment vertical="center"/>
    </xf>
    <xf numFmtId="0" fontId="11" fillId="0" borderId="90" xfId="4" applyFont="1" applyBorder="1" applyAlignment="1">
      <alignment horizontal="center" vertical="center"/>
    </xf>
    <xf numFmtId="178" fontId="11" fillId="0" borderId="87" xfId="4" applyNumberFormat="1" applyFont="1" applyBorder="1" applyAlignment="1">
      <alignment horizontal="center" vertical="center" wrapText="1"/>
    </xf>
    <xf numFmtId="0" fontId="11" fillId="0" borderId="91" xfId="4" applyFont="1" applyBorder="1" applyAlignment="1">
      <alignment horizontal="center" vertical="center"/>
    </xf>
    <xf numFmtId="182" fontId="12" fillId="9" borderId="88" xfId="4" applyNumberFormat="1" applyFont="1" applyFill="1" applyBorder="1">
      <alignment vertical="center"/>
    </xf>
    <xf numFmtId="182" fontId="12" fillId="9" borderId="89" xfId="4" applyNumberFormat="1" applyFont="1" applyFill="1" applyBorder="1">
      <alignment vertical="center"/>
    </xf>
    <xf numFmtId="177" fontId="11" fillId="4" borderId="41" xfId="4" applyNumberFormat="1" applyFont="1" applyFill="1" applyBorder="1" applyAlignment="1">
      <alignment horizontal="right" vertical="center" shrinkToFit="1"/>
    </xf>
    <xf numFmtId="177" fontId="11" fillId="5" borderId="35" xfId="4" applyNumberFormat="1" applyFont="1" applyFill="1" applyBorder="1" applyAlignment="1">
      <alignment horizontal="right" vertical="center" shrinkToFit="1"/>
    </xf>
    <xf numFmtId="177" fontId="11" fillId="4" borderId="37" xfId="4" applyNumberFormat="1" applyFont="1" applyFill="1" applyBorder="1" applyAlignment="1">
      <alignment horizontal="right" vertical="center" shrinkToFit="1"/>
    </xf>
    <xf numFmtId="0" fontId="11" fillId="0" borderId="29" xfId="4" applyFont="1" applyBorder="1" applyAlignment="1">
      <alignment horizontal="center" vertical="center" shrinkToFit="1"/>
    </xf>
    <xf numFmtId="9" fontId="11" fillId="5" borderId="32" xfId="4" applyNumberFormat="1" applyFont="1" applyFill="1" applyBorder="1">
      <alignment vertical="center"/>
    </xf>
    <xf numFmtId="9" fontId="11" fillId="5" borderId="23" xfId="4" applyNumberFormat="1" applyFont="1" applyFill="1" applyBorder="1">
      <alignment vertical="center"/>
    </xf>
    <xf numFmtId="0" fontId="17" fillId="7" borderId="34" xfId="4" applyFont="1" applyFill="1" applyBorder="1" applyAlignment="1">
      <alignment horizontal="center" vertical="center" wrapText="1"/>
    </xf>
    <xf numFmtId="9" fontId="11" fillId="5" borderId="26" xfId="4" applyNumberFormat="1" applyFont="1" applyFill="1" applyBorder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184" fontId="39" fillId="0" borderId="0" xfId="0" applyNumberFormat="1" applyFont="1">
      <alignment vertical="center"/>
    </xf>
    <xf numFmtId="0" fontId="43" fillId="0" borderId="0" xfId="0" applyFont="1">
      <alignment vertical="center"/>
    </xf>
    <xf numFmtId="0" fontId="39" fillId="0" borderId="0" xfId="0" quotePrefix="1" applyFont="1">
      <alignment vertical="center"/>
    </xf>
    <xf numFmtId="0" fontId="39" fillId="11" borderId="99" xfId="0" applyFont="1" applyFill="1" applyBorder="1">
      <alignment vertical="center"/>
    </xf>
    <xf numFmtId="181" fontId="39" fillId="0" borderId="23" xfId="0" applyNumberFormat="1" applyFont="1" applyBorder="1">
      <alignment vertical="center"/>
    </xf>
    <xf numFmtId="181" fontId="39" fillId="0" borderId="100" xfId="0" applyNumberFormat="1" applyFont="1" applyBorder="1">
      <alignment vertical="center"/>
    </xf>
    <xf numFmtId="0" fontId="39" fillId="11" borderId="101" xfId="0" applyFont="1" applyFill="1" applyBorder="1">
      <alignment vertical="center"/>
    </xf>
    <xf numFmtId="181" fontId="39" fillId="0" borderId="102" xfId="0" applyNumberFormat="1" applyFont="1" applyBorder="1">
      <alignment vertical="center"/>
    </xf>
    <xf numFmtId="181" fontId="39" fillId="0" borderId="103" xfId="0" applyNumberFormat="1" applyFont="1" applyBorder="1">
      <alignment vertical="center"/>
    </xf>
    <xf numFmtId="0" fontId="41" fillId="0" borderId="107" xfId="0" applyFont="1" applyBorder="1">
      <alignment vertical="center"/>
    </xf>
    <xf numFmtId="0" fontId="41" fillId="0" borderId="108" xfId="0" applyFont="1" applyBorder="1">
      <alignment vertical="center"/>
    </xf>
    <xf numFmtId="0" fontId="41" fillId="0" borderId="110" xfId="0" applyFont="1" applyBorder="1">
      <alignment vertical="center"/>
    </xf>
    <xf numFmtId="0" fontId="39" fillId="6" borderId="99" xfId="0" applyFont="1" applyFill="1" applyBorder="1">
      <alignment vertical="center"/>
    </xf>
    <xf numFmtId="181" fontId="39" fillId="6" borderId="23" xfId="0" applyNumberFormat="1" applyFont="1" applyFill="1" applyBorder="1">
      <alignment vertical="center"/>
    </xf>
    <xf numFmtId="181" fontId="39" fillId="6" borderId="100" xfId="0" applyNumberFormat="1" applyFont="1" applyFill="1" applyBorder="1">
      <alignment vertical="center"/>
    </xf>
    <xf numFmtId="0" fontId="39" fillId="6" borderId="101" xfId="0" applyFont="1" applyFill="1" applyBorder="1">
      <alignment vertical="center"/>
    </xf>
    <xf numFmtId="181" fontId="39" fillId="6" borderId="102" xfId="0" applyNumberFormat="1" applyFont="1" applyFill="1" applyBorder="1">
      <alignment vertical="center"/>
    </xf>
    <xf numFmtId="181" fontId="39" fillId="6" borderId="103" xfId="0" applyNumberFormat="1" applyFont="1" applyFill="1" applyBorder="1">
      <alignment vertical="center"/>
    </xf>
    <xf numFmtId="0" fontId="41" fillId="0" borderId="118" xfId="0" applyFont="1" applyBorder="1">
      <alignment vertical="center"/>
    </xf>
    <xf numFmtId="0" fontId="39" fillId="11" borderId="119" xfId="0" applyFont="1" applyFill="1" applyBorder="1">
      <alignment vertical="center"/>
    </xf>
    <xf numFmtId="0" fontId="41" fillId="0" borderId="120" xfId="0" applyFont="1" applyBorder="1">
      <alignment vertical="center"/>
    </xf>
    <xf numFmtId="0" fontId="41" fillId="0" borderId="122" xfId="0" applyFont="1" applyBorder="1">
      <alignment vertical="center"/>
    </xf>
    <xf numFmtId="0" fontId="41" fillId="0" borderId="113" xfId="0" applyFont="1" applyBorder="1" applyAlignment="1">
      <alignment horizontal="center" vertical="center"/>
    </xf>
    <xf numFmtId="0" fontId="39" fillId="6" borderId="119" xfId="0" applyFont="1" applyFill="1" applyBorder="1">
      <alignment vertical="center"/>
    </xf>
    <xf numFmtId="181" fontId="39" fillId="0" borderId="124" xfId="0" applyNumberFormat="1" applyFont="1" applyBorder="1">
      <alignment vertical="center"/>
    </xf>
    <xf numFmtId="181" fontId="39" fillId="0" borderId="125" xfId="0" applyNumberFormat="1" applyFont="1" applyBorder="1">
      <alignment vertical="center"/>
    </xf>
    <xf numFmtId="181" fontId="39" fillId="6" borderId="124" xfId="0" applyNumberFormat="1" applyFont="1" applyFill="1" applyBorder="1">
      <alignment vertical="center"/>
    </xf>
    <xf numFmtId="181" fontId="39" fillId="6" borderId="125" xfId="0" applyNumberFormat="1" applyFont="1" applyFill="1" applyBorder="1">
      <alignment vertical="center"/>
    </xf>
    <xf numFmtId="0" fontId="39" fillId="11" borderId="126" xfId="0" applyFont="1" applyFill="1" applyBorder="1">
      <alignment vertical="center"/>
    </xf>
    <xf numFmtId="181" fontId="39" fillId="0" borderId="129" xfId="0" applyNumberFormat="1" applyFont="1" applyBorder="1">
      <alignment vertical="center"/>
    </xf>
    <xf numFmtId="184" fontId="39" fillId="0" borderId="131" xfId="0" applyNumberFormat="1" applyFont="1" applyBorder="1" applyAlignment="1">
      <alignment horizontal="center" vertical="top"/>
    </xf>
    <xf numFmtId="184" fontId="39" fillId="0" borderId="132" xfId="0" applyNumberFormat="1" applyFont="1" applyBorder="1" applyAlignment="1">
      <alignment horizontal="center" vertical="top"/>
    </xf>
    <xf numFmtId="0" fontId="39" fillId="0" borderId="130" xfId="0" quotePrefix="1" applyFont="1" applyBorder="1" applyAlignment="1">
      <alignment horizontal="center" vertical="center"/>
    </xf>
    <xf numFmtId="0" fontId="39" fillId="0" borderId="127" xfId="0" quotePrefix="1" applyFont="1" applyBorder="1" applyAlignment="1">
      <alignment horizontal="center" vertical="center"/>
    </xf>
    <xf numFmtId="184" fontId="39" fillId="0" borderId="0" xfId="0" applyNumberFormat="1" applyFont="1" applyAlignment="1">
      <alignment horizontal="center" vertical="top"/>
    </xf>
    <xf numFmtId="0" fontId="39" fillId="11" borderId="127" xfId="0" applyFont="1" applyFill="1" applyBorder="1">
      <alignment vertical="center"/>
    </xf>
    <xf numFmtId="0" fontId="39" fillId="11" borderId="134" xfId="0" applyFont="1" applyFill="1" applyBorder="1">
      <alignment vertical="center"/>
    </xf>
    <xf numFmtId="0" fontId="41" fillId="0" borderId="130" xfId="0" applyFont="1" applyBorder="1" applyAlignment="1">
      <alignment horizontal="center" vertical="top"/>
    </xf>
    <xf numFmtId="0" fontId="41" fillId="0" borderId="135" xfId="0" applyFont="1" applyBorder="1" applyAlignment="1">
      <alignment horizontal="center" vertical="top"/>
    </xf>
    <xf numFmtId="0" fontId="39" fillId="13" borderId="0" xfId="0" applyFont="1" applyFill="1">
      <alignment vertical="center"/>
    </xf>
    <xf numFmtId="184" fontId="39" fillId="13" borderId="0" xfId="0" applyNumberFormat="1" applyFont="1" applyFill="1">
      <alignment vertical="center"/>
    </xf>
    <xf numFmtId="0" fontId="43" fillId="0" borderId="136" xfId="0" applyFont="1" applyBorder="1">
      <alignment vertical="center"/>
    </xf>
    <xf numFmtId="0" fontId="39" fillId="0" borderId="137" xfId="0" applyFont="1" applyBorder="1">
      <alignment vertical="center"/>
    </xf>
    <xf numFmtId="184" fontId="39" fillId="0" borderId="137" xfId="0" applyNumberFormat="1" applyFont="1" applyBorder="1">
      <alignment vertical="center"/>
    </xf>
    <xf numFmtId="184" fontId="39" fillId="0" borderId="94" xfId="0" applyNumberFormat="1" applyFont="1" applyBorder="1">
      <alignment vertical="center"/>
    </xf>
    <xf numFmtId="0" fontId="43" fillId="0" borderId="120" xfId="0" applyFont="1" applyBorder="1">
      <alignment vertical="center"/>
    </xf>
    <xf numFmtId="0" fontId="39" fillId="0" borderId="121" xfId="0" applyFont="1" applyBorder="1">
      <alignment vertical="center"/>
    </xf>
    <xf numFmtId="184" fontId="39" fillId="0" borderId="121" xfId="0" applyNumberFormat="1" applyFont="1" applyBorder="1">
      <alignment vertical="center"/>
    </xf>
    <xf numFmtId="184" fontId="39" fillId="0" borderId="138" xfId="0" applyNumberFormat="1" applyFont="1" applyBorder="1">
      <alignment vertical="center"/>
    </xf>
    <xf numFmtId="0" fontId="43" fillId="0" borderId="122" xfId="0" applyFont="1" applyBorder="1">
      <alignment vertical="center"/>
    </xf>
    <xf numFmtId="0" fontId="39" fillId="0" borderId="123" xfId="0" applyFont="1" applyBorder="1">
      <alignment vertical="center"/>
    </xf>
    <xf numFmtId="184" fontId="39" fillId="0" borderId="123" xfId="0" applyNumberFormat="1" applyFont="1" applyBorder="1">
      <alignment vertical="center"/>
    </xf>
    <xf numFmtId="184" fontId="39" fillId="0" borderId="139" xfId="0" applyNumberFormat="1" applyFont="1" applyBorder="1">
      <alignment vertical="center"/>
    </xf>
    <xf numFmtId="184" fontId="39" fillId="11" borderId="37" xfId="0" applyNumberFormat="1" applyFont="1" applyFill="1" applyBorder="1" applyAlignment="1">
      <alignment horizontal="center" vertical="center"/>
    </xf>
    <xf numFmtId="184" fontId="39" fillId="11" borderId="140" xfId="0" applyNumberFormat="1" applyFont="1" applyFill="1" applyBorder="1" applyAlignment="1">
      <alignment horizontal="center" vertical="center"/>
    </xf>
    <xf numFmtId="184" fontId="39" fillId="11" borderId="35" xfId="0" applyNumberFormat="1" applyFont="1" applyFill="1" applyBorder="1" applyAlignment="1">
      <alignment horizontal="center" vertical="center"/>
    </xf>
    <xf numFmtId="184" fontId="42" fillId="12" borderId="17" xfId="0" applyNumberFormat="1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143" xfId="0" applyFont="1" applyBorder="1" applyAlignment="1">
      <alignment horizontal="center" vertical="center"/>
    </xf>
    <xf numFmtId="0" fontId="41" fillId="0" borderId="144" xfId="0" applyFont="1" applyBorder="1" applyAlignment="1">
      <alignment horizontal="center" vertical="center"/>
    </xf>
    <xf numFmtId="180" fontId="39" fillId="0" borderId="111" xfId="0" applyNumberFormat="1" applyFont="1" applyBorder="1">
      <alignment vertical="center"/>
    </xf>
    <xf numFmtId="180" fontId="39" fillId="0" borderId="25" xfId="0" applyNumberFormat="1" applyFont="1" applyBorder="1">
      <alignment vertical="center"/>
    </xf>
    <xf numFmtId="180" fontId="39" fillId="0" borderId="145" xfId="0" applyNumberFormat="1" applyFont="1" applyBorder="1">
      <alignment vertical="center"/>
    </xf>
    <xf numFmtId="180" fontId="39" fillId="0" borderId="58" xfId="0" applyNumberFormat="1" applyFont="1" applyBorder="1">
      <alignment vertical="center"/>
    </xf>
    <xf numFmtId="180" fontId="39" fillId="0" borderId="117" xfId="0" applyNumberFormat="1" applyFont="1" applyBorder="1">
      <alignment vertical="center"/>
    </xf>
    <xf numFmtId="180" fontId="39" fillId="0" borderId="35" xfId="0" applyNumberFormat="1" applyFont="1" applyBorder="1">
      <alignment vertical="center"/>
    </xf>
    <xf numFmtId="0" fontId="40" fillId="0" borderId="8" xfId="4" applyFont="1" applyBorder="1" applyAlignment="1">
      <alignment horizontal="left" vertical="center"/>
    </xf>
    <xf numFmtId="0" fontId="39" fillId="0" borderId="1" xfId="0" applyFont="1" applyBorder="1">
      <alignment vertical="center"/>
    </xf>
    <xf numFmtId="0" fontId="39" fillId="0" borderId="2" xfId="0" applyFont="1" applyBorder="1">
      <alignment vertical="center"/>
    </xf>
    <xf numFmtId="184" fontId="39" fillId="0" borderId="2" xfId="0" applyNumberFormat="1" applyFont="1" applyBorder="1">
      <alignment vertical="center"/>
    </xf>
    <xf numFmtId="0" fontId="39" fillId="0" borderId="3" xfId="0" applyFont="1" applyBorder="1">
      <alignment vertical="center"/>
    </xf>
    <xf numFmtId="0" fontId="39" fillId="0" borderId="4" xfId="0" applyFont="1" applyBorder="1">
      <alignment vertical="center"/>
    </xf>
    <xf numFmtId="0" fontId="39" fillId="0" borderId="5" xfId="0" applyFont="1" applyBorder="1">
      <alignment vertical="center"/>
    </xf>
    <xf numFmtId="0" fontId="40" fillId="0" borderId="0" xfId="0" applyFont="1">
      <alignment vertical="center"/>
    </xf>
    <xf numFmtId="0" fontId="43" fillId="0" borderId="4" xfId="0" applyFont="1" applyBorder="1">
      <alignment vertical="center"/>
    </xf>
    <xf numFmtId="0" fontId="43" fillId="0" borderId="5" xfId="0" applyFont="1" applyBorder="1">
      <alignment vertical="center"/>
    </xf>
    <xf numFmtId="0" fontId="41" fillId="0" borderId="4" xfId="0" applyFont="1" applyBorder="1">
      <alignment vertical="center"/>
    </xf>
    <xf numFmtId="0" fontId="41" fillId="0" borderId="0" xfId="0" applyFont="1" applyAlignment="1">
      <alignment horizontal="center" vertical="center"/>
    </xf>
    <xf numFmtId="0" fontId="41" fillId="0" borderId="5" xfId="0" applyFont="1" applyBorder="1">
      <alignment vertical="center"/>
    </xf>
    <xf numFmtId="0" fontId="45" fillId="0" borderId="0" xfId="0" applyFont="1">
      <alignment vertical="center"/>
    </xf>
    <xf numFmtId="181" fontId="39" fillId="0" borderId="0" xfId="0" applyNumberFormat="1" applyFont="1">
      <alignment vertical="center"/>
    </xf>
    <xf numFmtId="0" fontId="39" fillId="0" borderId="13" xfId="0" applyFont="1" applyBorder="1">
      <alignment vertical="center"/>
    </xf>
    <xf numFmtId="0" fontId="39" fillId="0" borderId="14" xfId="0" applyFont="1" applyBorder="1">
      <alignment vertical="center"/>
    </xf>
    <xf numFmtId="184" fontId="39" fillId="0" borderId="14" xfId="0" applyNumberFormat="1" applyFont="1" applyBorder="1">
      <alignment vertical="center"/>
    </xf>
    <xf numFmtId="0" fontId="39" fillId="0" borderId="15" xfId="0" applyFont="1" applyBorder="1">
      <alignment vertical="center"/>
    </xf>
    <xf numFmtId="0" fontId="27" fillId="0" borderId="0" xfId="4" applyFont="1">
      <alignment vertical="center"/>
    </xf>
    <xf numFmtId="184" fontId="39" fillId="11" borderId="23" xfId="0" applyNumberFormat="1" applyFont="1" applyFill="1" applyBorder="1">
      <alignment vertical="center"/>
    </xf>
    <xf numFmtId="0" fontId="46" fillId="12" borderId="0" xfId="0" applyFont="1" applyFill="1" applyAlignment="1">
      <alignment horizontal="left" vertical="top"/>
    </xf>
    <xf numFmtId="0" fontId="39" fillId="0" borderId="0" xfId="0" applyFont="1" applyAlignment="1">
      <alignment horizontal="left" vertical="center"/>
    </xf>
    <xf numFmtId="0" fontId="39" fillId="0" borderId="100" xfId="0" applyFont="1" applyBorder="1">
      <alignment vertical="center"/>
    </xf>
    <xf numFmtId="0" fontId="39" fillId="0" borderId="103" xfId="0" applyFont="1" applyBorder="1">
      <alignment vertical="center"/>
    </xf>
    <xf numFmtId="0" fontId="39" fillId="11" borderId="111" xfId="0" applyFont="1" applyFill="1" applyBorder="1">
      <alignment vertical="center"/>
    </xf>
    <xf numFmtId="181" fontId="39" fillId="0" borderId="26" xfId="0" applyNumberFormat="1" applyFont="1" applyBorder="1">
      <alignment vertical="center"/>
    </xf>
    <xf numFmtId="181" fontId="39" fillId="0" borderId="112" xfId="0" applyNumberFormat="1" applyFont="1" applyBorder="1">
      <alignment vertical="center"/>
    </xf>
    <xf numFmtId="0" fontId="39" fillId="6" borderId="111" xfId="0" applyFont="1" applyFill="1" applyBorder="1">
      <alignment vertical="center"/>
    </xf>
    <xf numFmtId="181" fontId="39" fillId="6" borderId="26" xfId="0" applyNumberFormat="1" applyFont="1" applyFill="1" applyBorder="1">
      <alignment vertical="center"/>
    </xf>
    <xf numFmtId="181" fontId="39" fillId="6" borderId="112" xfId="0" applyNumberFormat="1" applyFont="1" applyFill="1" applyBorder="1">
      <alignment vertical="center"/>
    </xf>
    <xf numFmtId="181" fontId="39" fillId="6" borderId="101" xfId="0" applyNumberFormat="1" applyFont="1" applyFill="1" applyBorder="1">
      <alignment vertical="center"/>
    </xf>
    <xf numFmtId="183" fontId="39" fillId="0" borderId="111" xfId="1" applyNumberFormat="1" applyFont="1" applyBorder="1">
      <alignment vertical="center"/>
    </xf>
    <xf numFmtId="183" fontId="39" fillId="0" borderId="25" xfId="1" applyNumberFormat="1" applyFont="1" applyBorder="1">
      <alignment vertical="center"/>
    </xf>
    <xf numFmtId="183" fontId="39" fillId="0" borderId="145" xfId="1" applyNumberFormat="1" applyFont="1" applyBorder="1">
      <alignment vertical="center"/>
    </xf>
    <xf numFmtId="183" fontId="39" fillId="0" borderId="58" xfId="1" applyNumberFormat="1" applyFont="1" applyBorder="1">
      <alignment vertical="center"/>
    </xf>
    <xf numFmtId="0" fontId="41" fillId="0" borderId="114" xfId="0" applyFont="1" applyBorder="1" applyAlignment="1">
      <alignment horizontal="center" vertical="center"/>
    </xf>
    <xf numFmtId="184" fontId="41" fillId="0" borderId="115" xfId="0" applyNumberFormat="1" applyFont="1" applyBorder="1" applyAlignment="1">
      <alignment horizontal="center" vertical="center"/>
    </xf>
    <xf numFmtId="184" fontId="41" fillId="0" borderId="116" xfId="0" applyNumberFormat="1" applyFont="1" applyBorder="1" applyAlignment="1">
      <alignment horizontal="center" vertical="center"/>
    </xf>
    <xf numFmtId="0" fontId="15" fillId="0" borderId="26" xfId="4" applyFont="1" applyBorder="1">
      <alignment vertical="center"/>
    </xf>
    <xf numFmtId="0" fontId="15" fillId="0" borderId="23" xfId="4" applyFont="1" applyBorder="1">
      <alignment vertical="center"/>
    </xf>
    <xf numFmtId="0" fontId="15" fillId="0" borderId="27" xfId="4" applyFont="1" applyBorder="1">
      <alignment vertical="center"/>
    </xf>
    <xf numFmtId="177" fontId="15" fillId="0" borderId="23" xfId="4" applyNumberFormat="1" applyFont="1" applyBorder="1" applyAlignment="1">
      <alignment vertical="center" shrinkToFit="1"/>
    </xf>
    <xf numFmtId="178" fontId="15" fillId="0" borderId="25" xfId="4" applyNumberFormat="1" applyFont="1" applyBorder="1" applyAlignment="1">
      <alignment vertical="center" shrinkToFit="1"/>
    </xf>
    <xf numFmtId="181" fontId="48" fillId="0" borderId="129" xfId="0" applyNumberFormat="1" applyFont="1" applyBorder="1">
      <alignment vertical="center"/>
    </xf>
    <xf numFmtId="181" fontId="48" fillId="0" borderId="128" xfId="0" applyNumberFormat="1" applyFont="1" applyBorder="1">
      <alignment vertical="center"/>
    </xf>
    <xf numFmtId="181" fontId="48" fillId="0" borderId="26" xfId="0" applyNumberFormat="1" applyFont="1" applyBorder="1">
      <alignment vertical="center"/>
    </xf>
    <xf numFmtId="181" fontId="48" fillId="0" borderId="112" xfId="0" applyNumberFormat="1" applyFont="1" applyBorder="1">
      <alignment vertical="center"/>
    </xf>
    <xf numFmtId="181" fontId="48" fillId="0" borderId="23" xfId="0" applyNumberFormat="1" applyFont="1" applyBorder="1">
      <alignment vertical="center"/>
    </xf>
    <xf numFmtId="181" fontId="48" fillId="0" borderId="100" xfId="0" applyNumberFormat="1" applyFont="1" applyBorder="1">
      <alignment vertical="center"/>
    </xf>
    <xf numFmtId="0" fontId="48" fillId="0" borderId="127" xfId="0" quotePrefix="1" applyFont="1" applyBorder="1" applyAlignment="1">
      <alignment horizontal="center" vertical="center"/>
    </xf>
    <xf numFmtId="181" fontId="39" fillId="0" borderId="128" xfId="0" applyNumberFormat="1" applyFont="1" applyBorder="1">
      <alignment vertical="center"/>
    </xf>
    <xf numFmtId="180" fontId="48" fillId="0" borderId="26" xfId="0" applyNumberFormat="1" applyFont="1" applyBorder="1">
      <alignment vertical="center"/>
    </xf>
    <xf numFmtId="180" fontId="48" fillId="0" borderId="23" xfId="0" applyNumberFormat="1" applyFont="1" applyBorder="1">
      <alignment vertical="center"/>
    </xf>
    <xf numFmtId="0" fontId="14" fillId="7" borderId="50" xfId="4" applyFont="1" applyFill="1" applyBorder="1" applyAlignment="1">
      <alignment horizontal="center" vertical="center"/>
    </xf>
    <xf numFmtId="0" fontId="14" fillId="7" borderId="92" xfId="4" applyFont="1" applyFill="1" applyBorder="1" applyAlignment="1">
      <alignment horizontal="center" vertical="center"/>
    </xf>
    <xf numFmtId="0" fontId="11" fillId="0" borderId="93" xfId="4" applyFont="1" applyBorder="1" applyAlignment="1">
      <alignment horizontal="center" vertical="center"/>
    </xf>
    <xf numFmtId="0" fontId="11" fillId="0" borderId="94" xfId="4" applyFont="1" applyBorder="1" applyAlignment="1">
      <alignment horizontal="center" vertical="center"/>
    </xf>
    <xf numFmtId="177" fontId="11" fillId="4" borderId="37" xfId="4" applyNumberFormat="1" applyFont="1" applyFill="1" applyBorder="1" applyAlignment="1">
      <alignment horizontal="right" vertical="center"/>
    </xf>
    <xf numFmtId="177" fontId="11" fillId="4" borderId="35" xfId="4" applyNumberFormat="1" applyFont="1" applyFill="1" applyBorder="1" applyAlignment="1">
      <alignment horizontal="right" vertical="center"/>
    </xf>
    <xf numFmtId="177" fontId="11" fillId="4" borderId="18" xfId="4" applyNumberFormat="1" applyFont="1" applyFill="1" applyBorder="1" applyAlignment="1">
      <alignment horizontal="right" vertical="center"/>
    </xf>
    <xf numFmtId="177" fontId="11" fillId="4" borderId="16" xfId="4" applyNumberFormat="1" applyFont="1" applyFill="1" applyBorder="1" applyAlignment="1">
      <alignment horizontal="right" vertical="center"/>
    </xf>
    <xf numFmtId="177" fontId="11" fillId="6" borderId="18" xfId="4" applyNumberFormat="1" applyFont="1" applyFill="1" applyBorder="1" applyAlignment="1">
      <alignment horizontal="right" vertical="center"/>
    </xf>
    <xf numFmtId="177" fontId="11" fillId="6" borderId="16" xfId="4" applyNumberFormat="1" applyFont="1" applyFill="1" applyBorder="1" applyAlignment="1">
      <alignment horizontal="right" vertical="center"/>
    </xf>
    <xf numFmtId="0" fontId="11" fillId="0" borderId="37" xfId="4" applyFont="1" applyBorder="1" applyAlignment="1">
      <alignment horizontal="center" vertical="center"/>
    </xf>
    <xf numFmtId="0" fontId="11" fillId="0" borderId="35" xfId="4" applyFont="1" applyBorder="1" applyAlignment="1">
      <alignment horizontal="center" vertical="center"/>
    </xf>
    <xf numFmtId="0" fontId="14" fillId="7" borderId="43" xfId="4" applyFont="1" applyFill="1" applyBorder="1" applyAlignment="1">
      <alignment horizontal="center" vertical="center"/>
    </xf>
    <xf numFmtId="0" fontId="14" fillId="7" borderId="46" xfId="4" applyFont="1" applyFill="1" applyBorder="1" applyAlignment="1">
      <alignment horizontal="center" vertical="center"/>
    </xf>
    <xf numFmtId="0" fontId="14" fillId="7" borderId="45" xfId="4" applyFont="1" applyFill="1" applyBorder="1" applyAlignment="1">
      <alignment horizontal="center" vertical="center"/>
    </xf>
    <xf numFmtId="0" fontId="11" fillId="5" borderId="21" xfId="4" applyFont="1" applyFill="1" applyBorder="1" applyAlignment="1">
      <alignment horizontal="center" vertical="center"/>
    </xf>
    <xf numFmtId="0" fontId="11" fillId="5" borderId="36" xfId="4" applyFont="1" applyFill="1" applyBorder="1" applyAlignment="1">
      <alignment horizontal="center" vertical="center"/>
    </xf>
    <xf numFmtId="0" fontId="11" fillId="5" borderId="20" xfId="4" applyFont="1" applyFill="1" applyBorder="1" applyAlignment="1">
      <alignment horizontal="center" vertical="center"/>
    </xf>
    <xf numFmtId="0" fontId="11" fillId="5" borderId="19" xfId="4" applyFont="1" applyFill="1" applyBorder="1" applyAlignment="1">
      <alignment horizontal="center" vertical="center"/>
    </xf>
    <xf numFmtId="0" fontId="11" fillId="0" borderId="40" xfId="4" applyFont="1" applyBorder="1" applyAlignment="1">
      <alignment horizontal="center" vertical="center"/>
    </xf>
    <xf numFmtId="0" fontId="11" fillId="0" borderId="39" xfId="4" applyFont="1" applyBorder="1" applyAlignment="1">
      <alignment horizontal="center" vertical="center"/>
    </xf>
    <xf numFmtId="0" fontId="11" fillId="0" borderId="71" xfId="4" applyFont="1" applyBorder="1" applyAlignment="1">
      <alignment horizontal="left" vertical="center"/>
    </xf>
    <xf numFmtId="0" fontId="11" fillId="0" borderId="70" xfId="4" applyFont="1" applyBorder="1" applyAlignment="1">
      <alignment horizontal="left" vertical="center"/>
    </xf>
    <xf numFmtId="0" fontId="11" fillId="0" borderId="69" xfId="4" applyFont="1" applyBorder="1" applyAlignment="1">
      <alignment horizontal="left" vertical="center"/>
    </xf>
    <xf numFmtId="0" fontId="11" fillId="0" borderId="68" xfId="4" applyFont="1" applyBorder="1" applyAlignment="1">
      <alignment horizontal="left" vertical="center"/>
    </xf>
    <xf numFmtId="0" fontId="14" fillId="7" borderId="51" xfId="4" applyFont="1" applyFill="1" applyBorder="1" applyAlignment="1">
      <alignment horizontal="center" vertical="center"/>
    </xf>
    <xf numFmtId="0" fontId="14" fillId="7" borderId="53" xfId="4" applyFont="1" applyFill="1" applyBorder="1" applyAlignment="1">
      <alignment horizontal="center" vertical="center"/>
    </xf>
    <xf numFmtId="0" fontId="14" fillId="7" borderId="48" xfId="4" applyFont="1" applyFill="1" applyBorder="1" applyAlignment="1">
      <alignment horizontal="center" vertical="center"/>
    </xf>
    <xf numFmtId="0" fontId="14" fillId="7" borderId="52" xfId="4" applyFont="1" applyFill="1" applyBorder="1" applyAlignment="1">
      <alignment horizontal="center" vertical="center"/>
    </xf>
    <xf numFmtId="0" fontId="14" fillId="7" borderId="63" xfId="4" applyFont="1" applyFill="1" applyBorder="1" applyAlignment="1">
      <alignment horizontal="center" vertical="center"/>
    </xf>
    <xf numFmtId="177" fontId="14" fillId="7" borderId="51" xfId="4" applyNumberFormat="1" applyFont="1" applyFill="1" applyBorder="1" applyAlignment="1">
      <alignment horizontal="center" vertical="center"/>
    </xf>
    <xf numFmtId="177" fontId="14" fillId="7" borderId="66" xfId="4" applyNumberFormat="1" applyFont="1" applyFill="1" applyBorder="1" applyAlignment="1">
      <alignment horizontal="center" vertical="center"/>
    </xf>
    <xf numFmtId="177" fontId="14" fillId="7" borderId="65" xfId="4" applyNumberFormat="1" applyFont="1" applyFill="1" applyBorder="1" applyAlignment="1">
      <alignment horizontal="center" vertical="center"/>
    </xf>
    <xf numFmtId="177" fontId="14" fillId="7" borderId="64" xfId="4" applyNumberFormat="1" applyFont="1" applyFill="1" applyBorder="1" applyAlignment="1">
      <alignment horizontal="center" vertical="center"/>
    </xf>
    <xf numFmtId="177" fontId="11" fillId="5" borderId="17" xfId="4" applyNumberFormat="1" applyFont="1" applyFill="1" applyBorder="1" applyAlignment="1">
      <alignment horizontal="right" vertical="center"/>
    </xf>
    <xf numFmtId="0" fontId="11" fillId="5" borderId="17" xfId="4" applyFont="1" applyFill="1" applyBorder="1" applyAlignment="1">
      <alignment horizontal="right" vertical="center"/>
    </xf>
    <xf numFmtId="177" fontId="11" fillId="4" borderId="17" xfId="4" applyNumberFormat="1" applyFont="1" applyFill="1" applyBorder="1" applyAlignment="1">
      <alignment horizontal="right" vertical="center"/>
    </xf>
    <xf numFmtId="178" fontId="15" fillId="0" borderId="31" xfId="4" applyNumberFormat="1" applyFont="1" applyBorder="1" applyAlignment="1">
      <alignment horizontal="right" vertical="center"/>
    </xf>
    <xf numFmtId="178" fontId="15" fillId="0" borderId="30" xfId="4" applyNumberFormat="1" applyFont="1" applyBorder="1" applyAlignment="1">
      <alignment horizontal="right" vertical="center"/>
    </xf>
    <xf numFmtId="177" fontId="14" fillId="7" borderId="50" xfId="4" applyNumberFormat="1" applyFont="1" applyFill="1" applyBorder="1" applyAlignment="1">
      <alignment horizontal="center" vertical="center"/>
    </xf>
    <xf numFmtId="177" fontId="14" fillId="7" borderId="44" xfId="4" applyNumberFormat="1" applyFont="1" applyFill="1" applyBorder="1" applyAlignment="1">
      <alignment horizontal="center" vertical="center"/>
    </xf>
    <xf numFmtId="177" fontId="14" fillId="7" borderId="43" xfId="4" applyNumberFormat="1" applyFont="1" applyFill="1" applyBorder="1" applyAlignment="1">
      <alignment horizontal="center" vertical="center"/>
    </xf>
    <xf numFmtId="0" fontId="14" fillId="7" borderId="47" xfId="4" applyFont="1" applyFill="1" applyBorder="1" applyAlignment="1">
      <alignment horizontal="center" vertical="center"/>
    </xf>
    <xf numFmtId="0" fontId="19" fillId="0" borderId="72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74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75" xfId="0" applyFont="1" applyBorder="1">
      <alignment vertical="center"/>
    </xf>
    <xf numFmtId="0" fontId="41" fillId="0" borderId="40" xfId="0" applyFont="1" applyBorder="1" applyAlignment="1">
      <alignment horizontal="center" vertical="center"/>
    </xf>
    <xf numFmtId="0" fontId="41" fillId="0" borderId="109" xfId="0" applyFont="1" applyBorder="1" applyAlignment="1">
      <alignment horizontal="center" vertical="center"/>
    </xf>
    <xf numFmtId="182" fontId="47" fillId="2" borderId="6" xfId="2" applyNumberFormat="1" applyFont="1" applyFill="1" applyBorder="1" applyAlignment="1">
      <alignment horizontal="right" vertical="center"/>
    </xf>
    <xf numFmtId="182" fontId="47" fillId="2" borderId="7" xfId="2" applyNumberFormat="1" applyFont="1" applyFill="1" applyBorder="1" applyAlignment="1">
      <alignment horizontal="right" vertical="center"/>
    </xf>
    <xf numFmtId="0" fontId="44" fillId="0" borderId="6" xfId="4" applyFont="1" applyBorder="1" applyAlignment="1">
      <alignment horizontal="center" vertical="center"/>
    </xf>
    <xf numFmtId="0" fontId="44" fillId="0" borderId="8" xfId="4" applyFont="1" applyBorder="1" applyAlignment="1">
      <alignment horizontal="center" vertical="center"/>
    </xf>
    <xf numFmtId="184" fontId="39" fillId="0" borderId="105" xfId="0" applyNumberFormat="1" applyFont="1" applyBorder="1" applyAlignment="1">
      <alignment horizontal="center" vertical="center"/>
    </xf>
    <xf numFmtId="0" fontId="39" fillId="0" borderId="106" xfId="0" applyFont="1" applyBorder="1" applyAlignment="1">
      <alignment horizontal="center" vertical="center"/>
    </xf>
    <xf numFmtId="184" fontId="39" fillId="0" borderId="106" xfId="0" applyNumberFormat="1" applyFont="1" applyBorder="1" applyAlignment="1">
      <alignment horizontal="center" vertical="center"/>
    </xf>
    <xf numFmtId="180" fontId="48" fillId="0" borderId="23" xfId="0" applyNumberFormat="1" applyFont="1" applyBorder="1" applyAlignment="1">
      <alignment horizontal="center" vertical="center"/>
    </xf>
    <xf numFmtId="0" fontId="39" fillId="0" borderId="105" xfId="0" applyFont="1" applyBorder="1" applyAlignment="1">
      <alignment horizontal="center" vertical="center"/>
    </xf>
    <xf numFmtId="184" fontId="42" fillId="12" borderId="104" xfId="4" applyNumberFormat="1" applyFont="1" applyFill="1" applyBorder="1" applyAlignment="1">
      <alignment horizontal="center" vertical="center"/>
    </xf>
    <xf numFmtId="180" fontId="48" fillId="0" borderId="26" xfId="0" applyNumberFormat="1" applyFont="1" applyBorder="1" applyAlignment="1">
      <alignment horizontal="center" vertical="center"/>
    </xf>
    <xf numFmtId="184" fontId="39" fillId="0" borderId="20" xfId="0" applyNumberFormat="1" applyFont="1" applyBorder="1" applyAlignment="1">
      <alignment horizontal="center" vertical="center"/>
    </xf>
    <xf numFmtId="0" fontId="39" fillId="0" borderId="136" xfId="0" applyFont="1" applyBorder="1" applyAlignment="1">
      <alignment horizontal="center" vertical="center"/>
    </xf>
    <xf numFmtId="0" fontId="39" fillId="0" borderId="141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142" xfId="0" applyFont="1" applyBorder="1" applyAlignment="1">
      <alignment horizontal="center" vertical="center"/>
    </xf>
    <xf numFmtId="0" fontId="46" fillId="12" borderId="0" xfId="0" applyFont="1" applyFill="1" applyAlignment="1">
      <alignment horizontal="left" vertical="top"/>
    </xf>
    <xf numFmtId="0" fontId="39" fillId="0" borderId="96" xfId="0" applyFont="1" applyBorder="1" applyAlignment="1">
      <alignment horizontal="center" vertical="center"/>
    </xf>
    <xf numFmtId="0" fontId="39" fillId="0" borderId="97" xfId="0" applyFont="1" applyBorder="1" applyAlignment="1">
      <alignment horizontal="center" vertical="center"/>
    </xf>
    <xf numFmtId="0" fontId="39" fillId="0" borderId="98" xfId="0" applyFont="1" applyBorder="1" applyAlignment="1">
      <alignment horizontal="center" vertical="center"/>
    </xf>
    <xf numFmtId="184" fontId="39" fillId="0" borderId="133" xfId="0" applyNumberFormat="1" applyFont="1" applyBorder="1" applyAlignment="1">
      <alignment horizontal="center" vertical="center"/>
    </xf>
    <xf numFmtId="184" fontId="39" fillId="0" borderId="97" xfId="0" applyNumberFormat="1" applyFont="1" applyBorder="1" applyAlignment="1">
      <alignment horizontal="center" vertical="center"/>
    </xf>
    <xf numFmtId="184" fontId="39" fillId="0" borderId="98" xfId="0" applyNumberFormat="1" applyFont="1" applyBorder="1" applyAlignment="1">
      <alignment horizontal="center" vertical="center"/>
    </xf>
    <xf numFmtId="184" fontId="39" fillId="0" borderId="133" xfId="0" applyNumberFormat="1" applyFont="1" applyBorder="1" applyAlignment="1">
      <alignment horizontal="center" vertical="center" shrinkToFit="1"/>
    </xf>
    <xf numFmtId="184" fontId="39" fillId="0" borderId="97" xfId="0" applyNumberFormat="1" applyFont="1" applyBorder="1" applyAlignment="1">
      <alignment horizontal="center" vertical="center" shrinkToFit="1"/>
    </xf>
    <xf numFmtId="184" fontId="39" fillId="0" borderId="98" xfId="0" applyNumberFormat="1" applyFont="1" applyBorder="1" applyAlignment="1">
      <alignment horizontal="center" vertical="center" shrinkToFit="1"/>
    </xf>
    <xf numFmtId="0" fontId="42" fillId="12" borderId="104" xfId="4" applyFont="1" applyFill="1" applyBorder="1" applyAlignment="1">
      <alignment horizontal="center" vertical="center"/>
    </xf>
    <xf numFmtId="0" fontId="42" fillId="12" borderId="17" xfId="0" applyFont="1" applyFill="1" applyBorder="1" applyAlignment="1">
      <alignment horizontal="center" vertical="center"/>
    </xf>
    <xf numFmtId="184" fontId="39" fillId="0" borderId="96" xfId="0" applyNumberFormat="1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113" xfId="0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5" xr:uid="{00000000-0005-0000-0000-000003000000}"/>
    <cellStyle name="標準_NEW_TBL" xfId="2" xr:uid="{00000000-0005-0000-0000-000004000000}"/>
    <cellStyle name="標準_Sheet1" xfId="3" xr:uid="{00000000-0005-0000-0000-000005000000}"/>
  </cellStyles>
  <dxfs count="0"/>
  <tableStyles count="0" defaultTableStyle="TableStyleMedium9" defaultPivotStyle="PivotStyleLight16"/>
  <colors>
    <mruColors>
      <color rgb="FF00FFFF"/>
      <color rgb="FFFF66FF"/>
      <color rgb="FFFFFFCC"/>
      <color rgb="FFFFFF99"/>
      <color rgb="FFFFFF66"/>
      <color rgb="FF0000FF"/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124899</xdr:colOff>
      <xdr:row>30</xdr:row>
      <xdr:rowOff>64495</xdr:rowOff>
    </xdr:from>
    <xdr:to>
      <xdr:col>8</xdr:col>
      <xdr:colOff>567810</xdr:colOff>
      <xdr:row>30</xdr:row>
      <xdr:rowOff>1445620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990" y="5668222"/>
          <a:ext cx="1905511" cy="1381125"/>
        </a:xfrm>
        <a:prstGeom prst="rect">
          <a:avLst/>
        </a:prstGeom>
      </xdr:spPr>
    </xdr:pic>
    <xdr:clientData/>
  </xdr:twoCellAnchor>
  <xdr:twoCellAnchor editAs="oneCell">
    <xdr:from>
      <xdr:col>9</xdr:col>
      <xdr:colOff>78072</xdr:colOff>
      <xdr:row>30</xdr:row>
      <xdr:rowOff>64495</xdr:rowOff>
    </xdr:from>
    <xdr:to>
      <xdr:col>11</xdr:col>
      <xdr:colOff>514106</xdr:colOff>
      <xdr:row>30</xdr:row>
      <xdr:rowOff>1431543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6063" y="5668222"/>
          <a:ext cx="1908157" cy="1378478"/>
        </a:xfrm>
        <a:prstGeom prst="rect">
          <a:avLst/>
        </a:prstGeom>
      </xdr:spPr>
    </xdr:pic>
    <xdr:clientData/>
  </xdr:twoCellAnchor>
  <xdr:twoCellAnchor editAs="oneCell">
    <xdr:from>
      <xdr:col>12</xdr:col>
      <xdr:colOff>70930</xdr:colOff>
      <xdr:row>30</xdr:row>
      <xdr:rowOff>64495</xdr:rowOff>
    </xdr:from>
    <xdr:to>
      <xdr:col>14</xdr:col>
      <xdr:colOff>517651</xdr:colOff>
      <xdr:row>30</xdr:row>
      <xdr:rowOff>1445620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820" y="5668222"/>
          <a:ext cx="1905511" cy="1381125"/>
        </a:xfrm>
        <a:prstGeom prst="rect">
          <a:avLst/>
        </a:prstGeom>
      </xdr:spPr>
    </xdr:pic>
    <xdr:clientData/>
  </xdr:twoCellAnchor>
  <xdr:twoCellAnchor editAs="oneCell">
    <xdr:from>
      <xdr:col>18</xdr:col>
      <xdr:colOff>142364</xdr:colOff>
      <xdr:row>30</xdr:row>
      <xdr:rowOff>64495</xdr:rowOff>
    </xdr:from>
    <xdr:to>
      <xdr:col>20</xdr:col>
      <xdr:colOff>513043</xdr:colOff>
      <xdr:row>30</xdr:row>
      <xdr:rowOff>1394300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3053" y="5668222"/>
          <a:ext cx="1829469" cy="13259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111414</xdr:colOff>
      <xdr:row>30</xdr:row>
      <xdr:rowOff>64495</xdr:rowOff>
    </xdr:from>
    <xdr:to>
      <xdr:col>17</xdr:col>
      <xdr:colOff>550515</xdr:colOff>
      <xdr:row>30</xdr:row>
      <xdr:rowOff>1445620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1204" y="5668222"/>
          <a:ext cx="1905510" cy="1381125"/>
        </a:xfrm>
        <a:prstGeom prst="rect">
          <a:avLst/>
        </a:prstGeom>
      </xdr:spPr>
    </xdr:pic>
    <xdr:clientData/>
  </xdr:twoCellAnchor>
  <xdr:twoCellAnchor editAs="oneCell">
    <xdr:from>
      <xdr:col>6</xdr:col>
      <xdr:colOff>115092</xdr:colOff>
      <xdr:row>31</xdr:row>
      <xdr:rowOff>82817</xdr:rowOff>
    </xdr:from>
    <xdr:to>
      <xdr:col>8</xdr:col>
      <xdr:colOff>554193</xdr:colOff>
      <xdr:row>31</xdr:row>
      <xdr:rowOff>1467752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5" y="7155130"/>
          <a:ext cx="1902617" cy="1381125"/>
        </a:xfrm>
        <a:prstGeom prst="rect">
          <a:avLst/>
        </a:prstGeom>
      </xdr:spPr>
    </xdr:pic>
    <xdr:clientData/>
  </xdr:twoCellAnchor>
  <xdr:twoCellAnchor editAs="oneCell">
    <xdr:from>
      <xdr:col>9</xdr:col>
      <xdr:colOff>106360</xdr:colOff>
      <xdr:row>31</xdr:row>
      <xdr:rowOff>82817</xdr:rowOff>
    </xdr:from>
    <xdr:to>
      <xdr:col>11</xdr:col>
      <xdr:colOff>550226</xdr:colOff>
      <xdr:row>31</xdr:row>
      <xdr:rowOff>1467752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5360" y="7155130"/>
          <a:ext cx="1907382" cy="1381125"/>
        </a:xfrm>
        <a:prstGeom prst="rect">
          <a:avLst/>
        </a:prstGeom>
      </xdr:spPr>
    </xdr:pic>
    <xdr:clientData/>
  </xdr:twoCellAnchor>
  <xdr:twoCellAnchor editAs="oneCell">
    <xdr:from>
      <xdr:col>18</xdr:col>
      <xdr:colOff>143403</xdr:colOff>
      <xdr:row>31</xdr:row>
      <xdr:rowOff>82817</xdr:rowOff>
    </xdr:from>
    <xdr:to>
      <xdr:col>20</xdr:col>
      <xdr:colOff>516199</xdr:colOff>
      <xdr:row>31</xdr:row>
      <xdr:rowOff>1406165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7966" y="7155130"/>
          <a:ext cx="1828692" cy="1323348"/>
        </a:xfrm>
        <a:prstGeom prst="rect">
          <a:avLst/>
        </a:prstGeom>
      </xdr:spPr>
    </xdr:pic>
    <xdr:clientData/>
  </xdr:twoCellAnchor>
  <xdr:twoCellAnchor editAs="oneCell">
    <xdr:from>
      <xdr:col>12</xdr:col>
      <xdr:colOff>39687</xdr:colOff>
      <xdr:row>31</xdr:row>
      <xdr:rowOff>82817</xdr:rowOff>
    </xdr:from>
    <xdr:to>
      <xdr:col>14</xdr:col>
      <xdr:colOff>478788</xdr:colOff>
      <xdr:row>31</xdr:row>
      <xdr:rowOff>1467752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75" y="7155130"/>
          <a:ext cx="1902617" cy="1381125"/>
        </a:xfrm>
        <a:prstGeom prst="rect">
          <a:avLst/>
        </a:prstGeom>
      </xdr:spPr>
    </xdr:pic>
    <xdr:clientData/>
  </xdr:twoCellAnchor>
  <xdr:twoCellAnchor editAs="oneCell">
    <xdr:from>
      <xdr:col>15</xdr:col>
      <xdr:colOff>103187</xdr:colOff>
      <xdr:row>31</xdr:row>
      <xdr:rowOff>51067</xdr:rowOff>
    </xdr:from>
    <xdr:to>
      <xdr:col>17</xdr:col>
      <xdr:colOff>549908</xdr:colOff>
      <xdr:row>31</xdr:row>
      <xdr:rowOff>1428382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2562" y="7123380"/>
          <a:ext cx="1902618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ruKameData/SuperStream/&#21463;&#20449;&#28155;&#20184;/120623_00/SuperStream-NXGP_DB_Calcuration_V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8">
          <cell r="I58">
            <v>6802.5725595703125</v>
          </cell>
        </row>
      </sheetData>
      <sheetData sheetId="2">
        <row r="3">
          <cell r="B3" t="str">
            <v>明細/月</v>
          </cell>
        </row>
        <row r="4">
          <cell r="B4" t="str">
            <v>明細/年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56"/>
  <sheetViews>
    <sheetView showGridLines="0" tabSelected="1" zoomScaleNormal="100" workbookViewId="0"/>
  </sheetViews>
  <sheetFormatPr defaultColWidth="9" defaultRowHeight="19.2"/>
  <cols>
    <col min="1" max="1" width="3.21875" style="10" customWidth="1"/>
    <col min="2" max="2" width="3.21875" style="13" customWidth="1"/>
    <col min="3" max="3" width="3.21875" style="11" customWidth="1"/>
    <col min="4" max="4" width="24.44140625" style="11" bestFit="1" customWidth="1"/>
    <col min="5" max="5" width="8.109375" style="11" customWidth="1"/>
    <col min="6" max="6" width="5.6640625" style="11" hidden="1" customWidth="1"/>
    <col min="7" max="7" width="4.33203125" style="11" hidden="1" customWidth="1"/>
    <col min="8" max="8" width="7.109375" style="11" bestFit="1" customWidth="1"/>
    <col min="9" max="9" width="8.109375" style="11" customWidth="1"/>
    <col min="10" max="10" width="12.6640625" style="11" customWidth="1"/>
    <col min="11" max="11" width="12.6640625" style="12" customWidth="1"/>
    <col min="12" max="13" width="12.109375" style="11" customWidth="1"/>
    <col min="14" max="31" width="12.109375" style="10" customWidth="1"/>
    <col min="32" max="16384" width="9" style="10"/>
  </cols>
  <sheetData>
    <row r="1" spans="2:33" ht="20.25" customHeight="1" thickBot="1"/>
    <row r="2" spans="2:33" ht="30" customHeight="1">
      <c r="B2" s="105"/>
      <c r="C2" s="97" t="s">
        <v>471</v>
      </c>
      <c r="D2" s="98"/>
      <c r="E2" s="98"/>
      <c r="F2" s="98"/>
      <c r="G2" s="98"/>
      <c r="H2" s="98"/>
      <c r="I2" s="98"/>
      <c r="J2" s="98"/>
      <c r="K2" s="106"/>
      <c r="L2" s="98"/>
      <c r="M2" s="98"/>
      <c r="N2" s="164"/>
      <c r="AG2" s="62"/>
    </row>
    <row r="3" spans="2:33" ht="28.5" customHeight="1" thickBot="1">
      <c r="B3" s="100"/>
      <c r="C3" s="155" t="s">
        <v>264</v>
      </c>
      <c r="N3" s="165"/>
    </row>
    <row r="4" spans="2:33" s="13" customFormat="1" ht="20.25" customHeight="1" thickBot="1">
      <c r="B4" s="100"/>
      <c r="C4" s="155"/>
      <c r="D4" s="11"/>
      <c r="E4" s="11"/>
      <c r="F4" s="11"/>
      <c r="G4" s="11"/>
      <c r="H4" s="11"/>
      <c r="I4" s="11"/>
      <c r="J4" s="175" t="s">
        <v>407</v>
      </c>
      <c r="K4" s="176" t="s">
        <v>409</v>
      </c>
      <c r="L4" s="177" t="s">
        <v>408</v>
      </c>
      <c r="M4" s="11"/>
      <c r="N4" s="101"/>
    </row>
    <row r="5" spans="2:33" ht="20.25" customHeight="1">
      <c r="B5" s="100"/>
      <c r="D5" s="331" t="s">
        <v>180</v>
      </c>
      <c r="E5" s="332"/>
      <c r="F5" s="332"/>
      <c r="G5" s="332"/>
      <c r="H5" s="332"/>
      <c r="I5" s="332"/>
      <c r="J5" s="178">
        <f>ROUNDUP(($J$62+130)/1024,2)</f>
        <v>16.790000000000003</v>
      </c>
      <c r="K5" s="178">
        <f>J5*3</f>
        <v>50.370000000000005</v>
      </c>
      <c r="L5" s="173">
        <f>J5+K5</f>
        <v>67.160000000000011</v>
      </c>
      <c r="M5" s="99" t="s">
        <v>257</v>
      </c>
      <c r="N5" s="165"/>
    </row>
    <row r="6" spans="2:33" ht="20.25" customHeight="1" thickBot="1">
      <c r="B6" s="100"/>
      <c r="D6" s="333" t="s">
        <v>1</v>
      </c>
      <c r="E6" s="334"/>
      <c r="F6" s="334"/>
      <c r="G6" s="334"/>
      <c r="H6" s="334"/>
      <c r="I6" s="334"/>
      <c r="J6" s="179">
        <f>ROUNDUP(($J$62+130)/1024,2)</f>
        <v>16.790000000000003</v>
      </c>
      <c r="K6" s="179">
        <f>J6*7</f>
        <v>117.53000000000002</v>
      </c>
      <c r="L6" s="174">
        <f>J6+K6</f>
        <v>134.32000000000002</v>
      </c>
      <c r="M6" s="104" t="s">
        <v>257</v>
      </c>
      <c r="N6" s="165"/>
    </row>
    <row r="7" spans="2:33" ht="20.25" customHeight="1" thickBot="1">
      <c r="B7" s="102"/>
      <c r="C7" s="103"/>
      <c r="D7" s="103"/>
      <c r="E7" s="103"/>
      <c r="F7" s="103"/>
      <c r="G7" s="103"/>
      <c r="H7" s="103"/>
      <c r="I7" s="103"/>
      <c r="J7" s="103"/>
      <c r="K7" s="107"/>
      <c r="L7" s="103"/>
      <c r="M7" s="103"/>
      <c r="N7" s="166"/>
    </row>
    <row r="8" spans="2:33" ht="17.399999999999999">
      <c r="B8" s="11"/>
    </row>
    <row r="9" spans="2:33" ht="17.399999999999999">
      <c r="B9" s="11"/>
      <c r="C9" s="11" t="s">
        <v>179</v>
      </c>
    </row>
    <row r="10" spans="2:33" ht="17.399999999999999">
      <c r="B10" s="11"/>
      <c r="C10" s="336" t="s">
        <v>128</v>
      </c>
      <c r="D10" s="338" t="s">
        <v>2</v>
      </c>
      <c r="E10" s="335" t="s">
        <v>173</v>
      </c>
      <c r="F10" s="335"/>
      <c r="G10" s="335"/>
      <c r="H10" s="335"/>
      <c r="I10" s="335"/>
      <c r="J10" s="340" t="s">
        <v>178</v>
      </c>
      <c r="K10" s="341"/>
    </row>
    <row r="11" spans="2:33" ht="17.399999999999999">
      <c r="B11" s="11"/>
      <c r="C11" s="337"/>
      <c r="D11" s="339"/>
      <c r="E11" s="61" t="s">
        <v>148</v>
      </c>
      <c r="F11" s="61"/>
      <c r="G11" s="61"/>
      <c r="H11" s="61" t="s">
        <v>133</v>
      </c>
      <c r="I11" s="61" t="s">
        <v>147</v>
      </c>
      <c r="J11" s="342"/>
      <c r="K11" s="343"/>
    </row>
    <row r="12" spans="2:33" ht="17.399999999999999">
      <c r="B12" s="11"/>
      <c r="C12" s="50">
        <v>1</v>
      </c>
      <c r="D12" s="50" t="s">
        <v>3</v>
      </c>
      <c r="E12" s="49" t="s">
        <v>177</v>
      </c>
      <c r="F12" s="48"/>
      <c r="G12" s="48"/>
      <c r="H12" s="47" t="s">
        <v>133</v>
      </c>
      <c r="I12" s="57"/>
      <c r="J12" s="344">
        <v>5</v>
      </c>
      <c r="K12" s="344"/>
    </row>
    <row r="13" spans="2:33" ht="17.399999999999999">
      <c r="B13" s="11"/>
      <c r="C13" s="50">
        <v>2</v>
      </c>
      <c r="D13" s="50" t="s">
        <v>176</v>
      </c>
      <c r="E13" s="49" t="s">
        <v>175</v>
      </c>
      <c r="F13" s="48"/>
      <c r="G13" s="48"/>
      <c r="H13" s="47" t="s">
        <v>133</v>
      </c>
      <c r="I13" s="57"/>
      <c r="J13" s="344">
        <v>3</v>
      </c>
      <c r="K13" s="344"/>
    </row>
    <row r="14" spans="2:33" ht="17.399999999999999">
      <c r="B14" s="11"/>
      <c r="C14" s="50">
        <v>3</v>
      </c>
      <c r="D14" s="50" t="s">
        <v>174</v>
      </c>
      <c r="E14" s="60"/>
      <c r="F14" s="59"/>
      <c r="G14" s="59"/>
      <c r="H14" s="58"/>
      <c r="I14" s="57"/>
      <c r="J14" s="345" t="s">
        <v>16</v>
      </c>
      <c r="K14" s="345"/>
    </row>
    <row r="15" spans="2:33" ht="17.399999999999999">
      <c r="B15" s="11"/>
      <c r="C15" s="50">
        <v>4</v>
      </c>
      <c r="D15" s="50" t="s">
        <v>345</v>
      </c>
      <c r="E15" s="60"/>
      <c r="F15" s="59"/>
      <c r="G15" s="59"/>
      <c r="H15" s="58"/>
      <c r="I15" s="57"/>
      <c r="J15" s="346">
        <f>IF(LEN($J$13)&lt;&gt;0,IF(LEN(J14)&lt;&gt;0,IF(J14="0:利用する",$J$13,0),0),0)</f>
        <v>3</v>
      </c>
      <c r="K15" s="346"/>
    </row>
    <row r="16" spans="2:33" ht="17.399999999999999">
      <c r="B16" s="11"/>
    </row>
    <row r="17" spans="2:31" ht="17.399999999999999">
      <c r="B17" s="11"/>
      <c r="C17" s="11" t="s">
        <v>343</v>
      </c>
    </row>
    <row r="18" spans="2:31" ht="17.399999999999999">
      <c r="B18" s="11"/>
      <c r="C18" s="336" t="s">
        <v>128</v>
      </c>
      <c r="D18" s="338" t="s">
        <v>2</v>
      </c>
      <c r="E18" s="335" t="s">
        <v>173</v>
      </c>
      <c r="F18" s="335"/>
      <c r="G18" s="335"/>
      <c r="H18" s="335"/>
      <c r="I18" s="335"/>
      <c r="J18" s="340" t="s">
        <v>146</v>
      </c>
      <c r="K18" s="349"/>
      <c r="L18" s="56" t="s">
        <v>145</v>
      </c>
      <c r="M18" s="56" t="s">
        <v>341</v>
      </c>
      <c r="N18" s="56" t="s">
        <v>143</v>
      </c>
      <c r="O18" s="56" t="s">
        <v>142</v>
      </c>
      <c r="P18" s="56" t="s">
        <v>141</v>
      </c>
      <c r="Q18" s="56" t="s">
        <v>280</v>
      </c>
      <c r="R18" s="56" t="s">
        <v>281</v>
      </c>
      <c r="S18" s="56" t="s">
        <v>282</v>
      </c>
      <c r="T18" s="56" t="s">
        <v>283</v>
      </c>
      <c r="U18" s="56" t="s">
        <v>284</v>
      </c>
      <c r="V18" s="56" t="s">
        <v>285</v>
      </c>
      <c r="W18" s="56" t="s">
        <v>286</v>
      </c>
      <c r="X18" s="56" t="s">
        <v>287</v>
      </c>
      <c r="Y18" s="56" t="s">
        <v>288</v>
      </c>
      <c r="Z18" s="56" t="s">
        <v>289</v>
      </c>
      <c r="AA18" s="56" t="s">
        <v>290</v>
      </c>
      <c r="AB18" s="56" t="s">
        <v>291</v>
      </c>
      <c r="AC18" s="56" t="s">
        <v>292</v>
      </c>
      <c r="AD18" s="56" t="s">
        <v>293</v>
      </c>
      <c r="AE18" s="56" t="s">
        <v>294</v>
      </c>
    </row>
    <row r="19" spans="2:31" ht="17.399999999999999">
      <c r="B19" s="11"/>
      <c r="C19" s="337"/>
      <c r="D19" s="339"/>
      <c r="E19" s="55" t="s">
        <v>148</v>
      </c>
      <c r="F19" s="55"/>
      <c r="G19" s="55"/>
      <c r="H19" s="55" t="s">
        <v>133</v>
      </c>
      <c r="I19" s="55" t="s">
        <v>147</v>
      </c>
      <c r="J19" s="350"/>
      <c r="K19" s="351"/>
      <c r="L19" s="130" t="s">
        <v>337</v>
      </c>
      <c r="M19" s="130" t="s">
        <v>338</v>
      </c>
      <c r="N19" s="130" t="s">
        <v>339</v>
      </c>
      <c r="O19" s="130" t="s">
        <v>172</v>
      </c>
      <c r="P19" s="130" t="s">
        <v>171</v>
      </c>
      <c r="Q19" s="130" t="s">
        <v>295</v>
      </c>
      <c r="R19" s="130" t="s">
        <v>296</v>
      </c>
      <c r="S19" s="130" t="s">
        <v>297</v>
      </c>
      <c r="T19" s="130" t="s">
        <v>298</v>
      </c>
      <c r="U19" s="130" t="s">
        <v>299</v>
      </c>
      <c r="V19" s="130" t="s">
        <v>300</v>
      </c>
      <c r="W19" s="130" t="s">
        <v>301</v>
      </c>
      <c r="X19" s="130" t="s">
        <v>302</v>
      </c>
      <c r="Y19" s="130" t="s">
        <v>303</v>
      </c>
      <c r="Z19" s="130" t="s">
        <v>304</v>
      </c>
      <c r="AA19" s="130" t="s">
        <v>305</v>
      </c>
      <c r="AB19" s="130" t="s">
        <v>306</v>
      </c>
      <c r="AC19" s="130" t="s">
        <v>307</v>
      </c>
      <c r="AD19" s="130" t="s">
        <v>308</v>
      </c>
      <c r="AE19" s="130" t="s">
        <v>340</v>
      </c>
    </row>
    <row r="20" spans="2:31" ht="17.399999999999999">
      <c r="B20" s="11"/>
      <c r="C20" s="50">
        <v>1</v>
      </c>
      <c r="D20" s="50" t="s">
        <v>170</v>
      </c>
      <c r="E20" s="54" t="s">
        <v>163</v>
      </c>
      <c r="F20" s="53"/>
      <c r="G20" s="53"/>
      <c r="H20" s="52" t="s">
        <v>133</v>
      </c>
      <c r="I20" s="51" t="s">
        <v>150</v>
      </c>
      <c r="J20" s="316">
        <f>IF(SUM(L20:AE20)&lt;&gt;0,LARGE(L20:AE20,1),0)</f>
        <v>3</v>
      </c>
      <c r="K20" s="317"/>
      <c r="L20" s="144">
        <v>3</v>
      </c>
      <c r="M20" s="144">
        <v>3</v>
      </c>
      <c r="N20" s="144">
        <v>3</v>
      </c>
      <c r="O20" s="144">
        <v>3</v>
      </c>
      <c r="P20" s="144">
        <v>3</v>
      </c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</row>
    <row r="21" spans="2:31" ht="17.399999999999999">
      <c r="B21" s="11"/>
      <c r="C21" s="50">
        <v>2</v>
      </c>
      <c r="D21" s="50" t="s">
        <v>169</v>
      </c>
      <c r="E21" s="49" t="s">
        <v>151</v>
      </c>
      <c r="F21" s="48"/>
      <c r="G21" s="48"/>
      <c r="H21" s="47" t="s">
        <v>133</v>
      </c>
      <c r="I21" s="46" t="s">
        <v>150</v>
      </c>
      <c r="J21" s="316">
        <f>IF(SUM(L21:AE21)&lt;&gt;0,LARGE(L21:AE21,1),0)</f>
        <v>3</v>
      </c>
      <c r="K21" s="317"/>
      <c r="L21" s="144">
        <v>3</v>
      </c>
      <c r="M21" s="144">
        <v>3</v>
      </c>
      <c r="N21" s="144">
        <v>3</v>
      </c>
      <c r="O21" s="144">
        <v>3</v>
      </c>
      <c r="P21" s="144">
        <v>3</v>
      </c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</row>
    <row r="22" spans="2:31" ht="17.399999999999999">
      <c r="B22" s="11"/>
      <c r="C22" s="50">
        <v>3</v>
      </c>
      <c r="D22" s="140" t="s">
        <v>4</v>
      </c>
      <c r="E22" s="49" t="s">
        <v>168</v>
      </c>
      <c r="F22" s="48"/>
      <c r="G22" s="48"/>
      <c r="H22" s="47" t="s">
        <v>133</v>
      </c>
      <c r="I22" s="46" t="s">
        <v>132</v>
      </c>
      <c r="J22" s="318">
        <f>IF(SUM(L22:AE22)&lt;&gt;0,SUM(L22:AE22),0)</f>
        <v>1500</v>
      </c>
      <c r="K22" s="319"/>
      <c r="L22" s="144">
        <v>300</v>
      </c>
      <c r="M22" s="144">
        <v>300</v>
      </c>
      <c r="N22" s="144">
        <v>300</v>
      </c>
      <c r="O22" s="144">
        <v>300</v>
      </c>
      <c r="P22" s="144">
        <v>300</v>
      </c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</row>
    <row r="23" spans="2:31" ht="17.399999999999999">
      <c r="B23" s="11"/>
      <c r="C23" s="50">
        <v>4</v>
      </c>
      <c r="D23" s="50" t="s">
        <v>167</v>
      </c>
      <c r="E23" s="49" t="s">
        <v>163</v>
      </c>
      <c r="F23" s="48"/>
      <c r="G23" s="48"/>
      <c r="H23" s="47" t="s">
        <v>133</v>
      </c>
      <c r="I23" s="46" t="s">
        <v>162</v>
      </c>
      <c r="J23" s="316">
        <f>IF(SUM(L23:AE23)&lt;&gt;0,LARGE(L23:AE23,1),0)</f>
        <v>3</v>
      </c>
      <c r="K23" s="317"/>
      <c r="L23" s="144">
        <v>3</v>
      </c>
      <c r="M23" s="144">
        <v>3</v>
      </c>
      <c r="N23" s="144">
        <v>3</v>
      </c>
      <c r="O23" s="144">
        <v>3</v>
      </c>
      <c r="P23" s="144">
        <v>3</v>
      </c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</row>
    <row r="24" spans="2:31" ht="17.399999999999999">
      <c r="B24" s="11"/>
      <c r="C24" s="50">
        <v>5</v>
      </c>
      <c r="D24" s="50" t="s">
        <v>106</v>
      </c>
      <c r="E24" s="49" t="s">
        <v>134</v>
      </c>
      <c r="F24" s="48"/>
      <c r="G24" s="48"/>
      <c r="H24" s="47" t="s">
        <v>133</v>
      </c>
      <c r="I24" s="46" t="s">
        <v>132</v>
      </c>
      <c r="J24" s="318">
        <f>IF(SUM(L24:AE24)&lt;&gt;0,SUM(L24:AE24),0)</f>
        <v>1000</v>
      </c>
      <c r="K24" s="319"/>
      <c r="L24" s="144">
        <v>200</v>
      </c>
      <c r="M24" s="144">
        <v>200</v>
      </c>
      <c r="N24" s="144">
        <v>200</v>
      </c>
      <c r="O24" s="144">
        <v>200</v>
      </c>
      <c r="P24" s="144">
        <v>200</v>
      </c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</row>
    <row r="25" spans="2:31" ht="17.399999999999999">
      <c r="B25" s="11"/>
      <c r="C25" s="50">
        <v>6</v>
      </c>
      <c r="D25" s="50" t="s">
        <v>5</v>
      </c>
      <c r="E25" s="49" t="s">
        <v>165</v>
      </c>
      <c r="F25" s="48"/>
      <c r="G25" s="48"/>
      <c r="H25" s="47" t="s">
        <v>133</v>
      </c>
      <c r="I25" s="46" t="s">
        <v>132</v>
      </c>
      <c r="J25" s="318">
        <f>IF(SUM(L25:AE25)&lt;&gt;0,SUM(L25:AE25),0)</f>
        <v>750</v>
      </c>
      <c r="K25" s="319"/>
      <c r="L25" s="144">
        <v>150</v>
      </c>
      <c r="M25" s="144">
        <v>150</v>
      </c>
      <c r="N25" s="144">
        <v>150</v>
      </c>
      <c r="O25" s="144">
        <v>150</v>
      </c>
      <c r="P25" s="144">
        <v>150</v>
      </c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</row>
    <row r="26" spans="2:31" ht="17.399999999999999">
      <c r="B26" s="11"/>
      <c r="C26" s="50">
        <v>7</v>
      </c>
      <c r="D26" s="50" t="s">
        <v>166</v>
      </c>
      <c r="E26" s="49" t="s">
        <v>165</v>
      </c>
      <c r="F26" s="48"/>
      <c r="G26" s="48"/>
      <c r="H26" s="47" t="s">
        <v>133</v>
      </c>
      <c r="I26" s="46" t="s">
        <v>164</v>
      </c>
      <c r="J26" s="316">
        <f>IF(SUM(L26:AE26)&lt;&gt;0,LARGE(L26:AE26,1),0)</f>
        <v>3</v>
      </c>
      <c r="K26" s="317"/>
      <c r="L26" s="144">
        <v>3</v>
      </c>
      <c r="M26" s="144">
        <v>3</v>
      </c>
      <c r="N26" s="144">
        <v>3</v>
      </c>
      <c r="O26" s="144">
        <v>3</v>
      </c>
      <c r="P26" s="144">
        <v>3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</row>
    <row r="27" spans="2:31" ht="17.399999999999999">
      <c r="B27" s="11"/>
      <c r="C27" s="50">
        <v>8</v>
      </c>
      <c r="D27" s="50" t="s">
        <v>6</v>
      </c>
      <c r="E27" s="49" t="s">
        <v>163</v>
      </c>
      <c r="F27" s="48"/>
      <c r="G27" s="48"/>
      <c r="H27" s="47" t="s">
        <v>133</v>
      </c>
      <c r="I27" s="46" t="s">
        <v>162</v>
      </c>
      <c r="J27" s="316">
        <f>IF(SUM(L27:AE27)&lt;&gt;0,LARGE(L27:AE27,1),0)</f>
        <v>3</v>
      </c>
      <c r="K27" s="317"/>
      <c r="L27" s="144">
        <v>3</v>
      </c>
      <c r="M27" s="144">
        <v>3</v>
      </c>
      <c r="N27" s="144">
        <v>3</v>
      </c>
      <c r="O27" s="144">
        <v>3</v>
      </c>
      <c r="P27" s="144">
        <v>3</v>
      </c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pans="2:31" ht="17.399999999999999">
      <c r="B28" s="11"/>
      <c r="C28" s="50">
        <v>9</v>
      </c>
      <c r="D28" s="50" t="s">
        <v>161</v>
      </c>
      <c r="E28" s="49" t="s">
        <v>151</v>
      </c>
      <c r="F28" s="48"/>
      <c r="G28" s="48"/>
      <c r="H28" s="47" t="s">
        <v>133</v>
      </c>
      <c r="I28" s="46" t="s">
        <v>150</v>
      </c>
      <c r="J28" s="316">
        <f>IF(SUM(L28:AE28)&lt;&gt;0,LARGE(L28:AE28,1),0)</f>
        <v>3</v>
      </c>
      <c r="K28" s="317"/>
      <c r="L28" s="144">
        <v>3</v>
      </c>
      <c r="M28" s="144">
        <v>3</v>
      </c>
      <c r="N28" s="144">
        <v>3</v>
      </c>
      <c r="O28" s="144">
        <v>3</v>
      </c>
      <c r="P28" s="144">
        <v>3</v>
      </c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</row>
    <row r="29" spans="2:31" ht="17.399999999999999">
      <c r="B29" s="11"/>
      <c r="C29" s="50">
        <v>10</v>
      </c>
      <c r="D29" s="50" t="s">
        <v>160</v>
      </c>
      <c r="E29" s="49" t="s">
        <v>151</v>
      </c>
      <c r="F29" s="48"/>
      <c r="G29" s="48"/>
      <c r="H29" s="47" t="s">
        <v>133</v>
      </c>
      <c r="I29" s="46" t="s">
        <v>150</v>
      </c>
      <c r="J29" s="316">
        <f>IF(SUM(L29:AE29)&lt;&gt;0,LARGE(L29:AE29,1),0)</f>
        <v>3</v>
      </c>
      <c r="K29" s="317"/>
      <c r="L29" s="144">
        <v>3</v>
      </c>
      <c r="M29" s="144">
        <v>3</v>
      </c>
      <c r="N29" s="144">
        <v>3</v>
      </c>
      <c r="O29" s="144">
        <v>3</v>
      </c>
      <c r="P29" s="144">
        <v>3</v>
      </c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</row>
    <row r="30" spans="2:31" ht="17.399999999999999">
      <c r="B30" s="11"/>
      <c r="C30" s="50">
        <v>11</v>
      </c>
      <c r="D30" s="50" t="s">
        <v>7</v>
      </c>
      <c r="E30" s="49" t="s">
        <v>134</v>
      </c>
      <c r="F30" s="48"/>
      <c r="G30" s="48"/>
      <c r="H30" s="47" t="s">
        <v>133</v>
      </c>
      <c r="I30" s="46" t="s">
        <v>132</v>
      </c>
      <c r="J30" s="318">
        <f>IF(SUM(L30:AE30)&lt;&gt;0,SUM(L30:AE30),0)</f>
        <v>500</v>
      </c>
      <c r="K30" s="319"/>
      <c r="L30" s="144">
        <v>100</v>
      </c>
      <c r="M30" s="144">
        <v>100</v>
      </c>
      <c r="N30" s="144">
        <v>100</v>
      </c>
      <c r="O30" s="144">
        <v>100</v>
      </c>
      <c r="P30" s="144">
        <v>100</v>
      </c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</row>
    <row r="31" spans="2:31" ht="17.399999999999999">
      <c r="B31" s="11"/>
      <c r="C31" s="50">
        <v>12</v>
      </c>
      <c r="D31" s="50" t="s">
        <v>8</v>
      </c>
      <c r="E31" s="49" t="s">
        <v>151</v>
      </c>
      <c r="F31" s="48"/>
      <c r="G31" s="48"/>
      <c r="H31" s="47" t="s">
        <v>133</v>
      </c>
      <c r="I31" s="46" t="s">
        <v>150</v>
      </c>
      <c r="J31" s="316">
        <f>IF(SUM(L31:AE31)&lt;&gt;0,LARGE(L31:AE31,1),0)</f>
        <v>3</v>
      </c>
      <c r="K31" s="317"/>
      <c r="L31" s="144">
        <v>3</v>
      </c>
      <c r="M31" s="144">
        <v>3</v>
      </c>
      <c r="N31" s="144">
        <v>3</v>
      </c>
      <c r="O31" s="144">
        <v>3</v>
      </c>
      <c r="P31" s="144">
        <v>3</v>
      </c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</row>
    <row r="32" spans="2:31" ht="17.399999999999999">
      <c r="B32" s="11"/>
      <c r="C32" s="50">
        <v>13</v>
      </c>
      <c r="D32" s="50" t="s">
        <v>159</v>
      </c>
      <c r="E32" s="49" t="s">
        <v>134</v>
      </c>
      <c r="F32" s="48"/>
      <c r="G32" s="48"/>
      <c r="H32" s="47" t="s">
        <v>133</v>
      </c>
      <c r="I32" s="46" t="s">
        <v>132</v>
      </c>
      <c r="J32" s="318">
        <f>IF(SUM(L32:AE32)&lt;&gt;0,SUM(L32:AE32),0)</f>
        <v>500</v>
      </c>
      <c r="K32" s="319"/>
      <c r="L32" s="144">
        <v>100</v>
      </c>
      <c r="M32" s="144">
        <v>100</v>
      </c>
      <c r="N32" s="144">
        <v>100</v>
      </c>
      <c r="O32" s="144">
        <v>100</v>
      </c>
      <c r="P32" s="144">
        <v>100</v>
      </c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</row>
    <row r="33" spans="2:31" ht="17.399999999999999">
      <c r="B33" s="11"/>
      <c r="C33" s="50">
        <v>14</v>
      </c>
      <c r="D33" s="50" t="s">
        <v>158</v>
      </c>
      <c r="E33" s="49" t="s">
        <v>151</v>
      </c>
      <c r="F33" s="48"/>
      <c r="G33" s="48"/>
      <c r="H33" s="47" t="s">
        <v>133</v>
      </c>
      <c r="I33" s="46" t="s">
        <v>150</v>
      </c>
      <c r="J33" s="316">
        <f>IF(SUM(L33:AE33)&lt;&gt;0,LARGE(L33:AE33,1),0)</f>
        <v>3</v>
      </c>
      <c r="K33" s="317"/>
      <c r="L33" s="144">
        <v>3</v>
      </c>
      <c r="M33" s="144">
        <v>3</v>
      </c>
      <c r="N33" s="144">
        <v>3</v>
      </c>
      <c r="O33" s="144">
        <v>3</v>
      </c>
      <c r="P33" s="144">
        <v>3</v>
      </c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</row>
    <row r="34" spans="2:31" ht="17.399999999999999">
      <c r="B34" s="11"/>
      <c r="C34" s="50">
        <v>15</v>
      </c>
      <c r="D34" s="50" t="s">
        <v>157</v>
      </c>
      <c r="E34" s="49" t="s">
        <v>134</v>
      </c>
      <c r="F34" s="48"/>
      <c r="G34" s="48"/>
      <c r="H34" s="47" t="s">
        <v>133</v>
      </c>
      <c r="I34" s="46" t="s">
        <v>132</v>
      </c>
      <c r="J34" s="318">
        <f>IF(SUM(L34:AE34)&lt;&gt;0,SUM(L34:AE34),0)</f>
        <v>500</v>
      </c>
      <c r="K34" s="319"/>
      <c r="L34" s="144">
        <v>100</v>
      </c>
      <c r="M34" s="144">
        <v>100</v>
      </c>
      <c r="N34" s="144">
        <v>100</v>
      </c>
      <c r="O34" s="144">
        <v>100</v>
      </c>
      <c r="P34" s="144">
        <v>100</v>
      </c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</row>
    <row r="35" spans="2:31" ht="17.399999999999999">
      <c r="B35" s="11"/>
      <c r="C35" s="50">
        <v>16</v>
      </c>
      <c r="D35" s="50" t="s">
        <v>156</v>
      </c>
      <c r="E35" s="49" t="s">
        <v>151</v>
      </c>
      <c r="F35" s="48"/>
      <c r="G35" s="48"/>
      <c r="H35" s="47" t="s">
        <v>133</v>
      </c>
      <c r="I35" s="46" t="s">
        <v>150</v>
      </c>
      <c r="J35" s="316">
        <f>IF(SUM(L35:AE35)&lt;&gt;0,LARGE(L35:AE35,1),0)</f>
        <v>3</v>
      </c>
      <c r="K35" s="317"/>
      <c r="L35" s="144">
        <v>3</v>
      </c>
      <c r="M35" s="144">
        <v>3</v>
      </c>
      <c r="N35" s="144">
        <v>3</v>
      </c>
      <c r="O35" s="144">
        <v>3</v>
      </c>
      <c r="P35" s="144">
        <v>3</v>
      </c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</row>
    <row r="36" spans="2:31" ht="17.399999999999999">
      <c r="B36" s="11"/>
      <c r="C36" s="50">
        <v>17</v>
      </c>
      <c r="D36" s="50" t="s">
        <v>155</v>
      </c>
      <c r="E36" s="49" t="s">
        <v>134</v>
      </c>
      <c r="F36" s="48"/>
      <c r="G36" s="48"/>
      <c r="H36" s="47" t="s">
        <v>133</v>
      </c>
      <c r="I36" s="46" t="s">
        <v>132</v>
      </c>
      <c r="J36" s="318">
        <f>IF(SUM(L36:AE36)&lt;&gt;0,SUM(L36:AE36),0)</f>
        <v>0</v>
      </c>
      <c r="K36" s="319"/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</row>
    <row r="37" spans="2:31" ht="17.399999999999999">
      <c r="B37" s="11"/>
      <c r="C37" s="50">
        <v>18</v>
      </c>
      <c r="D37" s="50" t="s">
        <v>154</v>
      </c>
      <c r="E37" s="49" t="s">
        <v>151</v>
      </c>
      <c r="F37" s="48"/>
      <c r="G37" s="48"/>
      <c r="H37" s="47" t="s">
        <v>133</v>
      </c>
      <c r="I37" s="46" t="s">
        <v>150</v>
      </c>
      <c r="J37" s="316">
        <f>IF(SUM(L37:AE37)&lt;&gt;0,LARGE(L37:AE37,1),0)</f>
        <v>0</v>
      </c>
      <c r="K37" s="317"/>
      <c r="L37" s="144">
        <v>0</v>
      </c>
      <c r="M37" s="144">
        <v>0</v>
      </c>
      <c r="N37" s="144">
        <v>0</v>
      </c>
      <c r="O37" s="144">
        <v>0</v>
      </c>
      <c r="P37" s="144">
        <v>0</v>
      </c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</row>
    <row r="38" spans="2:31" ht="17.399999999999999">
      <c r="B38" s="11"/>
      <c r="C38" s="50">
        <v>19</v>
      </c>
      <c r="D38" s="50" t="s">
        <v>9</v>
      </c>
      <c r="E38" s="49" t="s">
        <v>134</v>
      </c>
      <c r="F38" s="48"/>
      <c r="G38" s="48"/>
      <c r="H38" s="47" t="s">
        <v>133</v>
      </c>
      <c r="I38" s="46" t="s">
        <v>132</v>
      </c>
      <c r="J38" s="318">
        <f>IF(SUM(L38:AE38)&lt;&gt;0,SUM(L38:AE38),0)</f>
        <v>0</v>
      </c>
      <c r="K38" s="319"/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2:31" ht="17.399999999999999">
      <c r="B39" s="11"/>
      <c r="C39" s="50">
        <v>20</v>
      </c>
      <c r="D39" s="50" t="s">
        <v>10</v>
      </c>
      <c r="E39" s="49" t="s">
        <v>151</v>
      </c>
      <c r="F39" s="48"/>
      <c r="G39" s="48"/>
      <c r="H39" s="47" t="s">
        <v>133</v>
      </c>
      <c r="I39" s="46" t="s">
        <v>150</v>
      </c>
      <c r="J39" s="316">
        <f>IF(SUM(L39:AE39)&lt;&gt;0,LARGE(L39:AE39,1),0)</f>
        <v>0</v>
      </c>
      <c r="K39" s="317"/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2:31" ht="17.399999999999999">
      <c r="B40" s="11"/>
      <c r="C40" s="50">
        <v>21</v>
      </c>
      <c r="D40" s="50" t="s">
        <v>11</v>
      </c>
      <c r="E40" s="49" t="s">
        <v>134</v>
      </c>
      <c r="F40" s="48"/>
      <c r="G40" s="48"/>
      <c r="H40" s="47" t="s">
        <v>133</v>
      </c>
      <c r="I40" s="46" t="s">
        <v>132</v>
      </c>
      <c r="J40" s="318">
        <f>IF(SUM(L40:AE40)&lt;&gt;0,SUM(L40:AE40),0)</f>
        <v>100000</v>
      </c>
      <c r="K40" s="319"/>
      <c r="L40" s="144">
        <v>20000</v>
      </c>
      <c r="M40" s="144">
        <v>20000</v>
      </c>
      <c r="N40" s="144">
        <v>20000</v>
      </c>
      <c r="O40" s="144">
        <v>20000</v>
      </c>
      <c r="P40" s="144">
        <v>20000</v>
      </c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</row>
    <row r="41" spans="2:31" ht="17.399999999999999">
      <c r="B41" s="11"/>
      <c r="C41" s="50">
        <v>22</v>
      </c>
      <c r="D41" s="50" t="s">
        <v>52</v>
      </c>
      <c r="E41" s="49" t="s">
        <v>134</v>
      </c>
      <c r="F41" s="48"/>
      <c r="G41" s="48"/>
      <c r="H41" s="47" t="s">
        <v>133</v>
      </c>
      <c r="I41" s="46" t="s">
        <v>132</v>
      </c>
      <c r="J41" s="318">
        <f>IF(SUM(L41:AE41)&lt;&gt;0,SUM(L41:AE41),0)</f>
        <v>25000</v>
      </c>
      <c r="K41" s="319"/>
      <c r="L41" s="144">
        <v>5000</v>
      </c>
      <c r="M41" s="144">
        <v>5000</v>
      </c>
      <c r="N41" s="144">
        <v>5000</v>
      </c>
      <c r="O41" s="144">
        <v>5000</v>
      </c>
      <c r="P41" s="144">
        <v>5000</v>
      </c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</row>
    <row r="42" spans="2:31" ht="17.399999999999999">
      <c r="B42" s="11"/>
      <c r="C42" s="50">
        <v>23</v>
      </c>
      <c r="D42" s="50" t="s">
        <v>60</v>
      </c>
      <c r="E42" s="49" t="s">
        <v>151</v>
      </c>
      <c r="F42" s="48"/>
      <c r="G42" s="48"/>
      <c r="H42" s="47" t="s">
        <v>133</v>
      </c>
      <c r="I42" s="46" t="s">
        <v>150</v>
      </c>
      <c r="J42" s="316">
        <f>IF(SUM(L42:AE42)&lt;&gt;0,LARGE(L42:AE42,1),0)</f>
        <v>3</v>
      </c>
      <c r="K42" s="317"/>
      <c r="L42" s="144">
        <v>3</v>
      </c>
      <c r="M42" s="144">
        <v>3</v>
      </c>
      <c r="N42" s="144">
        <v>3</v>
      </c>
      <c r="O42" s="144">
        <v>3</v>
      </c>
      <c r="P42" s="144">
        <v>3</v>
      </c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2:31" ht="17.399999999999999">
      <c r="B43" s="11"/>
      <c r="C43" s="50">
        <v>24</v>
      </c>
      <c r="D43" s="50" t="s">
        <v>55</v>
      </c>
      <c r="E43" s="49" t="s">
        <v>151</v>
      </c>
      <c r="F43" s="48"/>
      <c r="G43" s="48"/>
      <c r="H43" s="47" t="s">
        <v>133</v>
      </c>
      <c r="I43" s="46" t="s">
        <v>150</v>
      </c>
      <c r="J43" s="316">
        <f>IF(SUM(L43:AE43)&lt;&gt;0,LARGE(L43:AE43,1),0)</f>
        <v>3</v>
      </c>
      <c r="K43" s="317"/>
      <c r="L43" s="144">
        <v>3</v>
      </c>
      <c r="M43" s="144">
        <v>3</v>
      </c>
      <c r="N43" s="144">
        <v>3</v>
      </c>
      <c r="O43" s="144">
        <v>3</v>
      </c>
      <c r="P43" s="144">
        <v>3</v>
      </c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2:31" ht="17.399999999999999">
      <c r="B44" s="11"/>
      <c r="C44" s="50">
        <v>25</v>
      </c>
      <c r="D44" s="50" t="s">
        <v>57</v>
      </c>
      <c r="E44" s="49" t="s">
        <v>134</v>
      </c>
      <c r="F44" s="48"/>
      <c r="G44" s="48"/>
      <c r="H44" s="47" t="s">
        <v>133</v>
      </c>
      <c r="I44" s="46" t="s">
        <v>132</v>
      </c>
      <c r="J44" s="318">
        <f>IF(SUM(L44:AE44)&lt;&gt;0,SUM(L44:AE44),0)</f>
        <v>37500</v>
      </c>
      <c r="K44" s="319"/>
      <c r="L44" s="144">
        <v>7500</v>
      </c>
      <c r="M44" s="144">
        <v>7500</v>
      </c>
      <c r="N44" s="144">
        <v>7500</v>
      </c>
      <c r="O44" s="144">
        <v>7500</v>
      </c>
      <c r="P44" s="144">
        <v>7500</v>
      </c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2:31" ht="17.399999999999999">
      <c r="B45" s="11"/>
      <c r="C45" s="50">
        <v>26</v>
      </c>
      <c r="D45" s="50" t="s">
        <v>153</v>
      </c>
      <c r="E45" s="49" t="s">
        <v>151</v>
      </c>
      <c r="F45" s="48"/>
      <c r="G45" s="48"/>
      <c r="H45" s="47" t="s">
        <v>133</v>
      </c>
      <c r="I45" s="46" t="s">
        <v>150</v>
      </c>
      <c r="J45" s="316">
        <f>IF(SUM(L45:AE45)&lt;&gt;0,LARGE(L45:AE45,1),0)</f>
        <v>3</v>
      </c>
      <c r="K45" s="317"/>
      <c r="L45" s="144">
        <v>3</v>
      </c>
      <c r="M45" s="144">
        <v>3</v>
      </c>
      <c r="N45" s="144">
        <v>3</v>
      </c>
      <c r="O45" s="144">
        <v>3</v>
      </c>
      <c r="P45" s="144">
        <v>3</v>
      </c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2:31" ht="17.399999999999999">
      <c r="B46" s="11"/>
      <c r="C46" s="50">
        <v>27</v>
      </c>
      <c r="D46" s="50" t="s">
        <v>152</v>
      </c>
      <c r="E46" s="49" t="s">
        <v>151</v>
      </c>
      <c r="F46" s="48"/>
      <c r="G46" s="48"/>
      <c r="H46" s="47" t="s">
        <v>133</v>
      </c>
      <c r="I46" s="46" t="s">
        <v>150</v>
      </c>
      <c r="J46" s="316">
        <f>IF(SUM(L46:AE46)&lt;&gt;0,LARGE(L46:AE46,1),0)</f>
        <v>3</v>
      </c>
      <c r="K46" s="317"/>
      <c r="L46" s="144">
        <v>3</v>
      </c>
      <c r="M46" s="144">
        <v>3</v>
      </c>
      <c r="N46" s="144">
        <v>3</v>
      </c>
      <c r="O46" s="144">
        <v>3</v>
      </c>
      <c r="P46" s="144">
        <v>3</v>
      </c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2:31" ht="17.399999999999999">
      <c r="B47" s="11"/>
      <c r="C47" s="50">
        <v>28</v>
      </c>
      <c r="D47" s="50" t="s">
        <v>149</v>
      </c>
      <c r="E47" s="49" t="s">
        <v>134</v>
      </c>
      <c r="F47" s="48"/>
      <c r="G47" s="48"/>
      <c r="H47" s="47" t="s">
        <v>133</v>
      </c>
      <c r="I47" s="46" t="s">
        <v>132</v>
      </c>
      <c r="J47" s="318">
        <f>IF(SUM(L47:AE47)&lt;&gt;0,SUM(L47:AE47),0)</f>
        <v>5000</v>
      </c>
      <c r="K47" s="319"/>
      <c r="L47" s="144">
        <v>1000</v>
      </c>
      <c r="M47" s="144">
        <v>1000</v>
      </c>
      <c r="N47" s="144">
        <v>1000</v>
      </c>
      <c r="O47" s="144">
        <v>1000</v>
      </c>
      <c r="P47" s="144">
        <v>1000</v>
      </c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2:31" ht="17.399999999999999">
      <c r="B48" s="11"/>
      <c r="C48" s="50">
        <v>29</v>
      </c>
      <c r="D48" s="50" t="s">
        <v>13</v>
      </c>
      <c r="E48" s="49" t="s">
        <v>134</v>
      </c>
      <c r="F48" s="48"/>
      <c r="G48" s="48"/>
      <c r="H48" s="47" t="s">
        <v>133</v>
      </c>
      <c r="I48" s="46" t="s">
        <v>132</v>
      </c>
      <c r="J48" s="318">
        <f>IF(SUM(L48:AE48)&lt;&gt;0,SUM(L48:AE48),0)</f>
        <v>500</v>
      </c>
      <c r="K48" s="319"/>
      <c r="L48" s="144">
        <v>100</v>
      </c>
      <c r="M48" s="144">
        <v>100</v>
      </c>
      <c r="N48" s="144">
        <v>100</v>
      </c>
      <c r="O48" s="144">
        <v>100</v>
      </c>
      <c r="P48" s="144">
        <v>100</v>
      </c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</row>
    <row r="49" spans="2:34" ht="17.399999999999999">
      <c r="B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2:34" ht="17.399999999999999">
      <c r="B50" s="11"/>
      <c r="C50" s="11" t="s">
        <v>14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2:34" ht="17.399999999999999">
      <c r="B51" s="11"/>
      <c r="C51" s="336" t="s">
        <v>128</v>
      </c>
      <c r="D51" s="338" t="s">
        <v>2</v>
      </c>
      <c r="E51" s="45" t="s">
        <v>147</v>
      </c>
      <c r="F51" s="45"/>
      <c r="G51" s="45"/>
      <c r="H51" s="310" t="s">
        <v>410</v>
      </c>
      <c r="I51" s="311"/>
      <c r="J51" s="340" t="s">
        <v>309</v>
      </c>
      <c r="K51" s="349"/>
      <c r="L51" s="44" t="s">
        <v>145</v>
      </c>
      <c r="M51" s="44" t="s">
        <v>144</v>
      </c>
      <c r="N51" s="44" t="s">
        <v>143</v>
      </c>
      <c r="O51" s="44" t="s">
        <v>142</v>
      </c>
      <c r="P51" s="44" t="s">
        <v>141</v>
      </c>
      <c r="Q51" s="44" t="s">
        <v>280</v>
      </c>
      <c r="R51" s="44" t="s">
        <v>281</v>
      </c>
      <c r="S51" s="44" t="s">
        <v>282</v>
      </c>
      <c r="T51" s="44" t="s">
        <v>283</v>
      </c>
      <c r="U51" s="44" t="s">
        <v>284</v>
      </c>
      <c r="V51" s="44" t="s">
        <v>285</v>
      </c>
      <c r="W51" s="44" t="s">
        <v>286</v>
      </c>
      <c r="X51" s="44" t="s">
        <v>287</v>
      </c>
      <c r="Y51" s="44" t="s">
        <v>288</v>
      </c>
      <c r="Z51" s="44" t="s">
        <v>289</v>
      </c>
      <c r="AA51" s="44" t="s">
        <v>290</v>
      </c>
      <c r="AB51" s="44" t="s">
        <v>291</v>
      </c>
      <c r="AC51" s="44" t="s">
        <v>292</v>
      </c>
      <c r="AD51" s="44" t="s">
        <v>293</v>
      </c>
      <c r="AE51" s="44" t="s">
        <v>294</v>
      </c>
    </row>
    <row r="52" spans="2:34" ht="17.399999999999999">
      <c r="B52" s="11"/>
      <c r="C52" s="337"/>
      <c r="D52" s="352"/>
      <c r="E52" s="322" t="s">
        <v>17</v>
      </c>
      <c r="F52" s="323"/>
      <c r="G52" s="323"/>
      <c r="H52" s="323"/>
      <c r="I52" s="324"/>
      <c r="J52" s="350"/>
      <c r="K52" s="351"/>
      <c r="L52" s="43" t="str">
        <f t="shared" ref="L52:AE52" si="0">T(L$19)</f>
        <v>A株</v>
      </c>
      <c r="M52" s="43" t="str">
        <f t="shared" si="0"/>
        <v>B株</v>
      </c>
      <c r="N52" s="43" t="str">
        <f t="shared" si="0"/>
        <v>C株</v>
      </c>
      <c r="O52" s="43" t="str">
        <f t="shared" si="0"/>
        <v>D株</v>
      </c>
      <c r="P52" s="43" t="str">
        <f t="shared" si="0"/>
        <v>E株</v>
      </c>
      <c r="Q52" s="43" t="str">
        <f t="shared" si="0"/>
        <v>F株</v>
      </c>
      <c r="R52" s="43" t="str">
        <f t="shared" si="0"/>
        <v>G株</v>
      </c>
      <c r="S52" s="43" t="str">
        <f t="shared" si="0"/>
        <v>H株</v>
      </c>
      <c r="T52" s="43" t="str">
        <f t="shared" si="0"/>
        <v>I株</v>
      </c>
      <c r="U52" s="43" t="str">
        <f t="shared" si="0"/>
        <v>J株</v>
      </c>
      <c r="V52" s="43" t="str">
        <f t="shared" si="0"/>
        <v>K株</v>
      </c>
      <c r="W52" s="43" t="str">
        <f t="shared" si="0"/>
        <v>L株</v>
      </c>
      <c r="X52" s="43" t="str">
        <f t="shared" si="0"/>
        <v>M株</v>
      </c>
      <c r="Y52" s="43" t="str">
        <f t="shared" si="0"/>
        <v>N株</v>
      </c>
      <c r="Z52" s="43" t="str">
        <f t="shared" si="0"/>
        <v>O株</v>
      </c>
      <c r="AA52" s="43" t="str">
        <f t="shared" si="0"/>
        <v>P株</v>
      </c>
      <c r="AB52" s="43" t="str">
        <f t="shared" si="0"/>
        <v>Q株</v>
      </c>
      <c r="AC52" s="43" t="str">
        <f t="shared" si="0"/>
        <v>R株</v>
      </c>
      <c r="AD52" s="43" t="str">
        <f t="shared" si="0"/>
        <v>S株</v>
      </c>
      <c r="AE52" s="43" t="str">
        <f t="shared" si="0"/>
        <v>T株</v>
      </c>
    </row>
    <row r="53" spans="2:34" ht="17.399999999999999">
      <c r="B53" s="11"/>
      <c r="C53" s="329">
        <v>1</v>
      </c>
      <c r="D53" s="42" t="s">
        <v>15</v>
      </c>
      <c r="E53" s="183" t="str">
        <f>IF($H53="要ｱﾄﾞｵﾝ対応","―",IF($H53="件数追加ｵﾌﾟｼｮﾝ","20億件",IF($H53="大量ﾃﾞｰﾀｵﾌﾟｼｮﾝ","4億件","４千万件")))</f>
        <v>４千万件</v>
      </c>
      <c r="F53" s="41"/>
      <c r="G53" s="41"/>
      <c r="H53" s="312" t="str">
        <f>IF(($J$13*$J53)&lt;40000000,"通常ﾗｲｾﾝｽ",IF(($J$13*$J53)&lt;400000000,"大量ﾃﾞｰﾀｵﾌﾟｼｮﾝ",IF(($J$13*$J53)&lt;2000000000,"件数追加ｵﾌﾟｼｮﾝ","要ｱﾄﾞｵﾝ対応")))</f>
        <v>通常ﾗｲｾﾝｽ</v>
      </c>
      <c r="I53" s="313"/>
      <c r="J53" s="314">
        <f>SUM(L$53:AE$53)</f>
        <v>6000000</v>
      </c>
      <c r="K53" s="314"/>
      <c r="L53" s="180">
        <f>IF(LEN($E$54)&lt;&gt;0,IF(LEN(L$54)&lt;&gt;0,IF($E$54="明細/月",L$54*12,L$54),0),"")</f>
        <v>1200000</v>
      </c>
      <c r="M53" s="180">
        <f t="shared" ref="M53:AE53" si="1">IF(LEN($E$54)&lt;&gt;0,IF(LEN(M$54)&lt;&gt;0,IF($E$54="明細/月",M$54*12,M$54),0),"")</f>
        <v>1200000</v>
      </c>
      <c r="N53" s="180">
        <f t="shared" si="1"/>
        <v>1200000</v>
      </c>
      <c r="O53" s="180">
        <f t="shared" si="1"/>
        <v>1200000</v>
      </c>
      <c r="P53" s="180">
        <f t="shared" si="1"/>
        <v>1200000</v>
      </c>
      <c r="Q53" s="180">
        <f t="shared" si="1"/>
        <v>0</v>
      </c>
      <c r="R53" s="180">
        <f t="shared" si="1"/>
        <v>0</v>
      </c>
      <c r="S53" s="180">
        <f t="shared" si="1"/>
        <v>0</v>
      </c>
      <c r="T53" s="180">
        <f t="shared" si="1"/>
        <v>0</v>
      </c>
      <c r="U53" s="180">
        <f t="shared" si="1"/>
        <v>0</v>
      </c>
      <c r="V53" s="180">
        <f t="shared" si="1"/>
        <v>0</v>
      </c>
      <c r="W53" s="180">
        <f t="shared" si="1"/>
        <v>0</v>
      </c>
      <c r="X53" s="180">
        <f t="shared" si="1"/>
        <v>0</v>
      </c>
      <c r="Y53" s="180">
        <f t="shared" si="1"/>
        <v>0</v>
      </c>
      <c r="Z53" s="180">
        <f t="shared" si="1"/>
        <v>0</v>
      </c>
      <c r="AA53" s="180">
        <f t="shared" si="1"/>
        <v>0</v>
      </c>
      <c r="AB53" s="180">
        <f t="shared" si="1"/>
        <v>0</v>
      </c>
      <c r="AC53" s="180">
        <f t="shared" si="1"/>
        <v>0</v>
      </c>
      <c r="AD53" s="180">
        <f t="shared" si="1"/>
        <v>0</v>
      </c>
      <c r="AE53" s="180">
        <f t="shared" si="1"/>
        <v>0</v>
      </c>
    </row>
    <row r="54" spans="2:34" ht="17.399999999999999">
      <c r="B54" s="11"/>
      <c r="C54" s="330"/>
      <c r="D54" s="40" t="s">
        <v>140</v>
      </c>
      <c r="E54" s="325" t="s">
        <v>406</v>
      </c>
      <c r="F54" s="326"/>
      <c r="G54" s="326"/>
      <c r="H54" s="327"/>
      <c r="I54" s="328"/>
      <c r="J54" s="315"/>
      <c r="K54" s="315"/>
      <c r="L54" s="181">
        <v>100000</v>
      </c>
      <c r="M54" s="181">
        <v>100000</v>
      </c>
      <c r="N54" s="181">
        <v>100000</v>
      </c>
      <c r="O54" s="181">
        <v>100000</v>
      </c>
      <c r="P54" s="181">
        <v>100000</v>
      </c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</row>
    <row r="55" spans="2:34" ht="17.399999999999999">
      <c r="B55" s="11"/>
      <c r="C55" s="329">
        <v>2</v>
      </c>
      <c r="D55" s="42" t="s">
        <v>139</v>
      </c>
      <c r="E55" s="183" t="str">
        <f>IF($H55="要ｱﾄﾞｵﾝ対応","―",IF($H55="件数追加ｵﾌﾟｼｮﾝ","20億件",IF($H55="大量ﾃﾞｰﾀｵﾌﾟｼｮﾝ","4億件","４千万件")))</f>
        <v>４千万件</v>
      </c>
      <c r="F55" s="41"/>
      <c r="G55" s="41"/>
      <c r="H55" s="312" t="str">
        <f>IF(($J$13*$J55)&lt;40000000,"通常ﾗｲｾﾝｽ",IF(($J$13*$J55)&lt;400000000,"大量ﾃﾞｰﾀｵﾌﾟｼｮﾝ",IF(($J$13*$J55)&lt;2000000000,"件数追加ｵﾌﾟｼｮﾝ","要ｱﾄﾞｵﾝ対応")))</f>
        <v>通常ﾗｲｾﾝｽ</v>
      </c>
      <c r="I55" s="313"/>
      <c r="J55" s="314">
        <f>SUM(L$55:AE$55)</f>
        <v>2400000</v>
      </c>
      <c r="K55" s="314"/>
      <c r="L55" s="182">
        <f t="shared" ref="L55:AE55" si="2">IF(LEN($E$56)&lt;&gt;0,IF(LEN(L$56)&lt;&gt;0,IF($E$56="明細/月",L$56*12,L$56),0),"")</f>
        <v>480000</v>
      </c>
      <c r="M55" s="182">
        <f t="shared" si="2"/>
        <v>480000</v>
      </c>
      <c r="N55" s="182">
        <f t="shared" si="2"/>
        <v>480000</v>
      </c>
      <c r="O55" s="182">
        <f t="shared" si="2"/>
        <v>480000</v>
      </c>
      <c r="P55" s="182">
        <f t="shared" si="2"/>
        <v>480000</v>
      </c>
      <c r="Q55" s="182">
        <f t="shared" si="2"/>
        <v>0</v>
      </c>
      <c r="R55" s="182">
        <f t="shared" si="2"/>
        <v>0</v>
      </c>
      <c r="S55" s="182">
        <f t="shared" si="2"/>
        <v>0</v>
      </c>
      <c r="T55" s="182">
        <f t="shared" si="2"/>
        <v>0</v>
      </c>
      <c r="U55" s="182">
        <f t="shared" si="2"/>
        <v>0</v>
      </c>
      <c r="V55" s="182">
        <f t="shared" si="2"/>
        <v>0</v>
      </c>
      <c r="W55" s="182">
        <f t="shared" si="2"/>
        <v>0</v>
      </c>
      <c r="X55" s="182">
        <f t="shared" si="2"/>
        <v>0</v>
      </c>
      <c r="Y55" s="182">
        <f t="shared" si="2"/>
        <v>0</v>
      </c>
      <c r="Z55" s="182">
        <f t="shared" si="2"/>
        <v>0</v>
      </c>
      <c r="AA55" s="182">
        <f t="shared" si="2"/>
        <v>0</v>
      </c>
      <c r="AB55" s="182">
        <f t="shared" si="2"/>
        <v>0</v>
      </c>
      <c r="AC55" s="182">
        <f t="shared" si="2"/>
        <v>0</v>
      </c>
      <c r="AD55" s="182">
        <f t="shared" si="2"/>
        <v>0</v>
      </c>
      <c r="AE55" s="182">
        <f t="shared" si="2"/>
        <v>0</v>
      </c>
    </row>
    <row r="56" spans="2:34" ht="17.399999999999999">
      <c r="B56" s="11"/>
      <c r="C56" s="330"/>
      <c r="D56" s="40" t="s">
        <v>138</v>
      </c>
      <c r="E56" s="325" t="s">
        <v>130</v>
      </c>
      <c r="F56" s="326"/>
      <c r="G56" s="326"/>
      <c r="H56" s="327"/>
      <c r="I56" s="328"/>
      <c r="J56" s="315"/>
      <c r="K56" s="315"/>
      <c r="L56" s="181">
        <v>40000</v>
      </c>
      <c r="M56" s="181">
        <v>40000</v>
      </c>
      <c r="N56" s="181">
        <v>40000</v>
      </c>
      <c r="O56" s="181">
        <v>40000</v>
      </c>
      <c r="P56" s="181">
        <v>40000</v>
      </c>
      <c r="Q56" s="181">
        <v>0</v>
      </c>
      <c r="R56" s="181">
        <v>0</v>
      </c>
      <c r="S56" s="181">
        <v>0</v>
      </c>
      <c r="T56" s="181">
        <v>0</v>
      </c>
      <c r="U56" s="181">
        <v>0</v>
      </c>
      <c r="V56" s="181">
        <v>0</v>
      </c>
      <c r="W56" s="181">
        <v>0</v>
      </c>
      <c r="X56" s="181">
        <v>0</v>
      </c>
      <c r="Y56" s="181">
        <v>0</v>
      </c>
      <c r="Z56" s="181">
        <v>0</v>
      </c>
      <c r="AA56" s="181">
        <v>0</v>
      </c>
      <c r="AB56" s="181">
        <v>0</v>
      </c>
      <c r="AC56" s="181">
        <v>0</v>
      </c>
      <c r="AD56" s="181">
        <v>0</v>
      </c>
      <c r="AE56" s="181">
        <v>0</v>
      </c>
    </row>
    <row r="57" spans="2:34" ht="17.399999999999999">
      <c r="B57" s="11"/>
      <c r="C57" s="320">
        <v>3</v>
      </c>
      <c r="D57" s="42" t="s">
        <v>137</v>
      </c>
      <c r="E57" s="183" t="str">
        <f>IF($H57="要ｱﾄﾞｵﾝ対応","―",IF($H57="件数追加ｵﾌﾟｼｮﾝ","20億件",IF($H57="大量ﾃﾞｰﾀｵﾌﾟｼｮﾝ","4億件","４千万件")))</f>
        <v>４千万件</v>
      </c>
      <c r="F57" s="41"/>
      <c r="G57" s="41"/>
      <c r="H57" s="312" t="str">
        <f>IF(($J$13*$J57)&lt;40000000,"通常ﾗｲｾﾝｽ",IF(($J$13*$J57)&lt;400000000,"大量ﾃﾞｰﾀｵﾌﾟｼｮﾝ",IF(($J$13*$J57)&lt;2000000000,"件数追加ｵﾌﾟｼｮﾝ","要ｱﾄﾞｵﾝ対応")))</f>
        <v>通常ﾗｲｾﾝｽ</v>
      </c>
      <c r="I57" s="313"/>
      <c r="J57" s="314">
        <f>SUM(L$57:AE$57)</f>
        <v>600000</v>
      </c>
      <c r="K57" s="314"/>
      <c r="L57" s="182">
        <f>IF(LEN($E$58)&lt;&gt;0,IF(LEN(L$58)&lt;&gt;0,IF($E$58="明細/月",L$58*12,L$58),0),"")</f>
        <v>120000</v>
      </c>
      <c r="M57" s="182">
        <f t="shared" ref="M57:AE57" si="3">IF(LEN($E$58)&lt;&gt;0,IF(LEN(M$58)&lt;&gt;0,IF($E$58="明細/月",M$58*12,M$58),0),"")</f>
        <v>120000</v>
      </c>
      <c r="N57" s="182">
        <f t="shared" si="3"/>
        <v>120000</v>
      </c>
      <c r="O57" s="182">
        <f t="shared" si="3"/>
        <v>120000</v>
      </c>
      <c r="P57" s="182">
        <f t="shared" si="3"/>
        <v>120000</v>
      </c>
      <c r="Q57" s="182">
        <f t="shared" si="3"/>
        <v>0</v>
      </c>
      <c r="R57" s="182">
        <f t="shared" si="3"/>
        <v>0</v>
      </c>
      <c r="S57" s="182">
        <f t="shared" si="3"/>
        <v>0</v>
      </c>
      <c r="T57" s="182">
        <f t="shared" si="3"/>
        <v>0</v>
      </c>
      <c r="U57" s="182">
        <f t="shared" si="3"/>
        <v>0</v>
      </c>
      <c r="V57" s="182">
        <f t="shared" si="3"/>
        <v>0</v>
      </c>
      <c r="W57" s="182">
        <f t="shared" si="3"/>
        <v>0</v>
      </c>
      <c r="X57" s="182">
        <f t="shared" si="3"/>
        <v>0</v>
      </c>
      <c r="Y57" s="182">
        <f t="shared" si="3"/>
        <v>0</v>
      </c>
      <c r="Z57" s="182">
        <f t="shared" si="3"/>
        <v>0</v>
      </c>
      <c r="AA57" s="182">
        <f t="shared" si="3"/>
        <v>0</v>
      </c>
      <c r="AB57" s="182">
        <f t="shared" si="3"/>
        <v>0</v>
      </c>
      <c r="AC57" s="182">
        <f t="shared" si="3"/>
        <v>0</v>
      </c>
      <c r="AD57" s="182">
        <f t="shared" si="3"/>
        <v>0</v>
      </c>
      <c r="AE57" s="182">
        <f t="shared" si="3"/>
        <v>0</v>
      </c>
    </row>
    <row r="58" spans="2:34" ht="17.399999999999999">
      <c r="B58" s="11"/>
      <c r="C58" s="321"/>
      <c r="D58" s="40" t="s">
        <v>136</v>
      </c>
      <c r="E58" s="325" t="s">
        <v>130</v>
      </c>
      <c r="F58" s="326"/>
      <c r="G58" s="326"/>
      <c r="H58" s="327"/>
      <c r="I58" s="328"/>
      <c r="J58" s="315"/>
      <c r="K58" s="315"/>
      <c r="L58" s="181">
        <v>10000</v>
      </c>
      <c r="M58" s="181">
        <v>10000</v>
      </c>
      <c r="N58" s="181">
        <v>10000</v>
      </c>
      <c r="O58" s="181">
        <v>10000</v>
      </c>
      <c r="P58" s="181">
        <v>10000</v>
      </c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</row>
    <row r="59" spans="2:34" ht="17.399999999999999">
      <c r="B59" s="11"/>
      <c r="C59" s="320">
        <v>4</v>
      </c>
      <c r="D59" s="42" t="s">
        <v>135</v>
      </c>
      <c r="E59" s="183" t="str">
        <f>IF($H59="要ｱﾄﾞｵﾝ対応","―",IF($H59="件数追加ｵﾌﾟｼｮﾝ","20億件",IF($H59="大量ﾃﾞｰﾀｵﾌﾟｼｮﾝ","4億件","４千万件")))</f>
        <v>４千万件</v>
      </c>
      <c r="F59" s="41"/>
      <c r="G59" s="41"/>
      <c r="H59" s="312" t="str">
        <f>IF(($J$13*$J59)&lt;40000000,"通常ﾗｲｾﾝｽ",IF(($J$13*$J59)&lt;400000000,"大量ﾃﾞｰﾀｵﾌﾟｼｮﾝ",IF(($J$13*$J59)&lt;2000000000,"件数追加ｵﾌﾟｼｮﾝ","要ｱﾄﾞｵﾝ対応")))</f>
        <v>通常ﾗｲｾﾝｽ</v>
      </c>
      <c r="I59" s="313"/>
      <c r="J59" s="314">
        <f>SUM(L$59:AE$59)</f>
        <v>6000</v>
      </c>
      <c r="K59" s="314"/>
      <c r="L59" s="182">
        <f t="shared" ref="L59:AE59" si="4">IF(LEN($E$60)&lt;&gt;0,IF(LEN(L$60)&lt;&gt;0,IF($E$60="明細/月",L$60*12,L$60),0),"")</f>
        <v>1200</v>
      </c>
      <c r="M59" s="182">
        <f t="shared" si="4"/>
        <v>1200</v>
      </c>
      <c r="N59" s="182">
        <f t="shared" si="4"/>
        <v>1200</v>
      </c>
      <c r="O59" s="182">
        <f t="shared" si="4"/>
        <v>1200</v>
      </c>
      <c r="P59" s="182">
        <f t="shared" si="4"/>
        <v>1200</v>
      </c>
      <c r="Q59" s="182">
        <f t="shared" si="4"/>
        <v>0</v>
      </c>
      <c r="R59" s="182">
        <f t="shared" si="4"/>
        <v>0</v>
      </c>
      <c r="S59" s="182">
        <f t="shared" si="4"/>
        <v>0</v>
      </c>
      <c r="T59" s="182">
        <f t="shared" si="4"/>
        <v>0</v>
      </c>
      <c r="U59" s="182">
        <f t="shared" si="4"/>
        <v>0</v>
      </c>
      <c r="V59" s="182">
        <f t="shared" si="4"/>
        <v>0</v>
      </c>
      <c r="W59" s="182">
        <f t="shared" si="4"/>
        <v>0</v>
      </c>
      <c r="X59" s="182">
        <f t="shared" si="4"/>
        <v>0</v>
      </c>
      <c r="Y59" s="182">
        <f t="shared" si="4"/>
        <v>0</v>
      </c>
      <c r="Z59" s="182">
        <f t="shared" si="4"/>
        <v>0</v>
      </c>
      <c r="AA59" s="182">
        <f t="shared" si="4"/>
        <v>0</v>
      </c>
      <c r="AB59" s="182">
        <f t="shared" si="4"/>
        <v>0</v>
      </c>
      <c r="AC59" s="182">
        <f t="shared" si="4"/>
        <v>0</v>
      </c>
      <c r="AD59" s="182">
        <f t="shared" si="4"/>
        <v>0</v>
      </c>
      <c r="AE59" s="182">
        <f t="shared" si="4"/>
        <v>0</v>
      </c>
    </row>
    <row r="60" spans="2:34" ht="17.399999999999999">
      <c r="B60" s="11"/>
      <c r="C60" s="321"/>
      <c r="D60" s="40" t="s">
        <v>131</v>
      </c>
      <c r="E60" s="325" t="s">
        <v>130</v>
      </c>
      <c r="F60" s="326"/>
      <c r="G60" s="326"/>
      <c r="H60" s="327"/>
      <c r="I60" s="328"/>
      <c r="J60" s="315"/>
      <c r="K60" s="315"/>
      <c r="L60" s="181">
        <v>100</v>
      </c>
      <c r="M60" s="181">
        <v>100</v>
      </c>
      <c r="N60" s="181">
        <v>100</v>
      </c>
      <c r="O60" s="181">
        <v>100</v>
      </c>
      <c r="P60" s="181">
        <v>100</v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</row>
    <row r="61" spans="2:34" ht="17.399999999999999">
      <c r="B61" s="11"/>
      <c r="E61" s="11" t="s">
        <v>411</v>
      </c>
      <c r="J61" s="39"/>
    </row>
    <row r="62" spans="2:34" ht="26.4">
      <c r="E62" s="186" t="s">
        <v>412</v>
      </c>
      <c r="F62" s="38"/>
      <c r="G62" s="38"/>
      <c r="H62" s="184">
        <v>0.4</v>
      </c>
      <c r="I62" s="37" t="s">
        <v>129</v>
      </c>
      <c r="J62" s="347">
        <f>SUM(K64:K102)+SUM(K104:K113)</f>
        <v>17058.216781250001</v>
      </c>
      <c r="K62" s="348"/>
      <c r="L62" s="15"/>
      <c r="M62" s="15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2:34" ht="34.799999999999997">
      <c r="C63" s="36" t="s">
        <v>128</v>
      </c>
      <c r="D63" s="35" t="s">
        <v>127</v>
      </c>
      <c r="E63" s="34" t="s">
        <v>126</v>
      </c>
      <c r="F63" s="34" t="s">
        <v>125</v>
      </c>
      <c r="G63" s="34" t="s">
        <v>124</v>
      </c>
      <c r="H63" s="34" t="s">
        <v>45</v>
      </c>
      <c r="I63" s="34" t="s">
        <v>44</v>
      </c>
      <c r="J63" s="33" t="s">
        <v>123</v>
      </c>
      <c r="K63" s="32" t="s">
        <v>122</v>
      </c>
      <c r="L63" s="15"/>
      <c r="M63" s="15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2:34">
      <c r="C64" s="20">
        <v>1</v>
      </c>
      <c r="D64" s="19" t="s">
        <v>121</v>
      </c>
      <c r="E64" s="296">
        <v>375</v>
      </c>
      <c r="F64" s="18"/>
      <c r="G64" s="18"/>
      <c r="H64" s="18">
        <f>E64*$H$62</f>
        <v>150</v>
      </c>
      <c r="I64" s="185">
        <v>1</v>
      </c>
      <c r="J64" s="17">
        <f>H64*I64*$J$12</f>
        <v>750</v>
      </c>
      <c r="K64" s="16">
        <f>J64/(1024*1000)</f>
        <v>7.32421875E-4</v>
      </c>
      <c r="L64" s="15" t="s">
        <v>89</v>
      </c>
      <c r="M64" s="15" t="s">
        <v>89</v>
      </c>
      <c r="N64" s="31" t="s">
        <v>120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2:34">
      <c r="C65" s="20">
        <v>2</v>
      </c>
      <c r="D65" s="19" t="s">
        <v>119</v>
      </c>
      <c r="E65" s="18">
        <v>130</v>
      </c>
      <c r="F65" s="18">
        <v>5</v>
      </c>
      <c r="G65" s="18">
        <v>25</v>
      </c>
      <c r="H65" s="18">
        <f>IF($J$20&gt;0,$F65+($G65*$J$20),$E65)</f>
        <v>80</v>
      </c>
      <c r="I65" s="185">
        <v>1</v>
      </c>
      <c r="J65" s="17">
        <f>H65*I65*$J$12</f>
        <v>400</v>
      </c>
      <c r="K65" s="16">
        <f t="shared" ref="K65:K99" si="5">J65/(1024*1000)</f>
        <v>3.9062500000000002E-4</v>
      </c>
      <c r="L65" s="15" t="s">
        <v>89</v>
      </c>
      <c r="M65" s="15" t="s">
        <v>108</v>
      </c>
      <c r="N65" s="31" t="s">
        <v>118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2:34" ht="17.399999999999999">
      <c r="B66" s="10"/>
      <c r="C66" s="20">
        <v>3</v>
      </c>
      <c r="D66" s="19" t="s">
        <v>117</v>
      </c>
      <c r="E66" s="18">
        <v>130</v>
      </c>
      <c r="F66" s="18">
        <v>5</v>
      </c>
      <c r="G66" s="18">
        <v>25</v>
      </c>
      <c r="H66" s="18">
        <f>IF($J$21&gt;0,$F66+($G66*$J$21),$E66)</f>
        <v>80</v>
      </c>
      <c r="I66" s="185">
        <v>1</v>
      </c>
      <c r="J66" s="17">
        <f>H66*I66*$J$12*$J21</f>
        <v>1200</v>
      </c>
      <c r="K66" s="16">
        <f t="shared" si="5"/>
        <v>1.171875E-3</v>
      </c>
      <c r="L66" s="15" t="s">
        <v>89</v>
      </c>
      <c r="M66" s="15" t="s">
        <v>116</v>
      </c>
      <c r="N66" s="31" t="s">
        <v>115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2:34" ht="17.399999999999999">
      <c r="B67" s="10"/>
      <c r="C67" s="20">
        <v>4</v>
      </c>
      <c r="D67" s="19" t="s">
        <v>114</v>
      </c>
      <c r="E67" s="18">
        <v>149</v>
      </c>
      <c r="F67" s="18"/>
      <c r="G67" s="18"/>
      <c r="H67" s="18">
        <f>E67*$H$62</f>
        <v>59.6</v>
      </c>
      <c r="I67" s="185">
        <v>1</v>
      </c>
      <c r="J67" s="17">
        <f>H67*I67*$J$12*$J22</f>
        <v>447000</v>
      </c>
      <c r="K67" s="16">
        <f t="shared" si="5"/>
        <v>0.4365234375</v>
      </c>
      <c r="L67" s="15" t="s">
        <v>108</v>
      </c>
      <c r="M67" s="15" t="s">
        <v>113</v>
      </c>
      <c r="N67" s="31" t="s">
        <v>112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2:34" ht="17.399999999999999">
      <c r="B68" s="10"/>
      <c r="C68" s="20">
        <v>5</v>
      </c>
      <c r="D68" s="19" t="s">
        <v>111</v>
      </c>
      <c r="E68" s="18">
        <v>181</v>
      </c>
      <c r="F68" s="18"/>
      <c r="G68" s="18"/>
      <c r="H68" s="18">
        <f>E68*$H$62</f>
        <v>72.400000000000006</v>
      </c>
      <c r="I68" s="185">
        <v>1</v>
      </c>
      <c r="J68" s="17">
        <f>H68*I68*25</f>
        <v>1810.0000000000002</v>
      </c>
      <c r="K68" s="16">
        <f t="shared" si="5"/>
        <v>1.7675781250000003E-3</v>
      </c>
      <c r="L68" s="15"/>
      <c r="M68" s="15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2:34" ht="17.399999999999999">
      <c r="B69" s="10"/>
      <c r="C69" s="20">
        <v>6</v>
      </c>
      <c r="D69" s="19" t="s">
        <v>465</v>
      </c>
      <c r="E69" s="18">
        <v>26</v>
      </c>
      <c r="F69" s="18"/>
      <c r="G69" s="18"/>
      <c r="H69" s="18">
        <f>E69*$H$62</f>
        <v>10.4</v>
      </c>
      <c r="I69" s="185">
        <v>1</v>
      </c>
      <c r="J69" s="17">
        <f>H69*I69*18</f>
        <v>187.20000000000002</v>
      </c>
      <c r="K69" s="16">
        <f t="shared" si="5"/>
        <v>1.8281250000000001E-4</v>
      </c>
      <c r="L69" s="15"/>
      <c r="M69" s="15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2:34" ht="17.399999999999999">
      <c r="B70" s="10"/>
      <c r="C70" s="20">
        <v>7</v>
      </c>
      <c r="D70" s="19" t="s">
        <v>110</v>
      </c>
      <c r="E70" s="18">
        <v>96</v>
      </c>
      <c r="F70" s="18"/>
      <c r="G70" s="18"/>
      <c r="H70" s="18">
        <f>E70*$H$62</f>
        <v>38.400000000000006</v>
      </c>
      <c r="I70" s="185">
        <v>1</v>
      </c>
      <c r="J70" s="17">
        <f>H70*I70*5</f>
        <v>192.00000000000003</v>
      </c>
      <c r="K70" s="16">
        <f t="shared" si="5"/>
        <v>1.8750000000000003E-4</v>
      </c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2:34" ht="17.399999999999999">
      <c r="B71" s="10"/>
      <c r="C71" s="20">
        <v>8</v>
      </c>
      <c r="D71" s="19" t="s">
        <v>109</v>
      </c>
      <c r="E71" s="18">
        <v>325</v>
      </c>
      <c r="F71" s="18">
        <v>25</v>
      </c>
      <c r="G71" s="18">
        <v>30</v>
      </c>
      <c r="H71" s="18">
        <f>IF($J$23&gt;0,$F71+($G71*$J$23),$E71)</f>
        <v>115</v>
      </c>
      <c r="I71" s="185">
        <v>1</v>
      </c>
      <c r="J71" s="17">
        <f>H71*I71*$J$22</f>
        <v>172500</v>
      </c>
      <c r="K71" s="16">
        <f t="shared" si="5"/>
        <v>0.16845703125</v>
      </c>
      <c r="L71" s="15" t="s">
        <v>108</v>
      </c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2:34" ht="17.399999999999999">
      <c r="B72" s="10"/>
      <c r="C72" s="20">
        <v>9</v>
      </c>
      <c r="D72" s="19" t="s">
        <v>107</v>
      </c>
      <c r="E72" s="18">
        <v>95</v>
      </c>
      <c r="F72" s="18"/>
      <c r="G72" s="18"/>
      <c r="H72" s="18">
        <f>E72*$H$62</f>
        <v>38</v>
      </c>
      <c r="I72" s="185">
        <v>1</v>
      </c>
      <c r="J72" s="17">
        <f>H72*I72*$J$24</f>
        <v>38000</v>
      </c>
      <c r="K72" s="16">
        <f t="shared" si="5"/>
        <v>3.7109375E-2</v>
      </c>
      <c r="L72" s="15" t="s">
        <v>106</v>
      </c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2:34" ht="17.399999999999999">
      <c r="B73" s="10"/>
      <c r="C73" s="20">
        <v>10</v>
      </c>
      <c r="D73" s="19" t="s">
        <v>105</v>
      </c>
      <c r="E73" s="18">
        <v>71</v>
      </c>
      <c r="F73" s="18"/>
      <c r="G73" s="18"/>
      <c r="H73" s="18">
        <f>E73*$H$62</f>
        <v>28.400000000000002</v>
      </c>
      <c r="I73" s="185">
        <v>1</v>
      </c>
      <c r="J73" s="17">
        <f>H73*I73*$J$48</f>
        <v>14200.000000000002</v>
      </c>
      <c r="K73" s="16">
        <f t="shared" si="5"/>
        <v>1.3867187500000001E-2</v>
      </c>
      <c r="L73" s="15" t="s">
        <v>104</v>
      </c>
      <c r="M73" s="15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2:34" ht="17.399999999999999">
      <c r="B74" s="10"/>
      <c r="C74" s="20">
        <v>11</v>
      </c>
      <c r="D74" s="19" t="s">
        <v>103</v>
      </c>
      <c r="E74" s="30">
        <v>22</v>
      </c>
      <c r="F74" s="30"/>
      <c r="G74" s="30"/>
      <c r="H74" s="18">
        <f>E74*$H$62</f>
        <v>8.8000000000000007</v>
      </c>
      <c r="I74" s="185">
        <v>1</v>
      </c>
      <c r="J74" s="17">
        <f>H74*I74*($J$13+$J$15)*12</f>
        <v>633.6</v>
      </c>
      <c r="K74" s="16">
        <f t="shared" si="5"/>
        <v>6.1875000000000005E-4</v>
      </c>
      <c r="L74" s="15" t="s">
        <v>102</v>
      </c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2:34" ht="17.399999999999999">
      <c r="B75" s="10"/>
      <c r="C75" s="20">
        <v>12</v>
      </c>
      <c r="D75" s="19" t="s">
        <v>101</v>
      </c>
      <c r="E75" s="18">
        <v>46</v>
      </c>
      <c r="F75" s="18"/>
      <c r="G75" s="18"/>
      <c r="H75" s="18">
        <f>E75*$H$62</f>
        <v>18.400000000000002</v>
      </c>
      <c r="I75" s="185">
        <v>1</v>
      </c>
      <c r="J75" s="17">
        <f>H75*I75*($J$13+$J$15)*13</f>
        <v>1435.2</v>
      </c>
      <c r="K75" s="16">
        <f t="shared" si="5"/>
        <v>1.4015625E-3</v>
      </c>
      <c r="L75" s="15" t="s">
        <v>100</v>
      </c>
      <c r="M75" s="15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2:34" ht="17.399999999999999">
      <c r="B76" s="10"/>
      <c r="C76" s="20">
        <v>13</v>
      </c>
      <c r="D76" s="19" t="s">
        <v>99</v>
      </c>
      <c r="E76" s="18">
        <v>961</v>
      </c>
      <c r="F76" s="18">
        <v>161</v>
      </c>
      <c r="G76" s="18">
        <v>80</v>
      </c>
      <c r="H76" s="18">
        <f>IF($J$27&gt;0,$F76+($G76*$J$27),$E76)</f>
        <v>401</v>
      </c>
      <c r="I76" s="185">
        <v>1</v>
      </c>
      <c r="J76" s="17">
        <f>H76*I76*$J$25*$J$26</f>
        <v>902250</v>
      </c>
      <c r="K76" s="16">
        <f t="shared" si="5"/>
        <v>0.881103515625</v>
      </c>
      <c r="L76" s="15" t="s">
        <v>98</v>
      </c>
      <c r="M76" s="15"/>
      <c r="N76" s="31" t="s">
        <v>97</v>
      </c>
      <c r="O76" s="31" t="s">
        <v>96</v>
      </c>
      <c r="P76" s="31" t="s">
        <v>96</v>
      </c>
      <c r="Q76" s="31" t="s">
        <v>96</v>
      </c>
      <c r="R76" s="31" t="s">
        <v>96</v>
      </c>
      <c r="S76" s="31" t="s">
        <v>96</v>
      </c>
      <c r="T76" s="31" t="s">
        <v>96</v>
      </c>
      <c r="U76" s="31" t="s">
        <v>96</v>
      </c>
      <c r="V76" s="31" t="s">
        <v>96</v>
      </c>
      <c r="W76" s="31" t="s">
        <v>96</v>
      </c>
      <c r="X76" s="31" t="s">
        <v>96</v>
      </c>
      <c r="Y76" s="31" t="s">
        <v>96</v>
      </c>
      <c r="Z76" s="31" t="s">
        <v>96</v>
      </c>
      <c r="AA76" s="31" t="s">
        <v>96</v>
      </c>
      <c r="AB76" s="31" t="s">
        <v>96</v>
      </c>
      <c r="AC76" s="31" t="s">
        <v>96</v>
      </c>
      <c r="AD76" s="31" t="s">
        <v>96</v>
      </c>
      <c r="AE76" s="14"/>
      <c r="AF76" s="14"/>
      <c r="AG76" s="14"/>
      <c r="AH76" s="14"/>
    </row>
    <row r="77" spans="2:34" ht="17.399999999999999">
      <c r="B77" s="10"/>
      <c r="C77" s="20">
        <v>14</v>
      </c>
      <c r="D77" s="19" t="s">
        <v>95</v>
      </c>
      <c r="E77" s="18">
        <v>165</v>
      </c>
      <c r="F77" s="18">
        <v>15</v>
      </c>
      <c r="G77" s="18">
        <v>30</v>
      </c>
      <c r="H77" s="18">
        <f>IF($J$28&gt;0,$F77+($G77*$J$28),$E77)</f>
        <v>105</v>
      </c>
      <c r="I77" s="185">
        <v>1</v>
      </c>
      <c r="J77" s="17">
        <f>H77*I77*$J$25</f>
        <v>78750</v>
      </c>
      <c r="K77" s="16">
        <f t="shared" si="5"/>
        <v>7.6904296875E-2</v>
      </c>
      <c r="L77" s="15" t="s">
        <v>91</v>
      </c>
      <c r="M77" s="15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2:34" ht="17.399999999999999">
      <c r="B78" s="10"/>
      <c r="C78" s="20">
        <v>15</v>
      </c>
      <c r="D78" s="19" t="s">
        <v>94</v>
      </c>
      <c r="E78" s="18">
        <v>165</v>
      </c>
      <c r="F78" s="18">
        <v>15</v>
      </c>
      <c r="G78" s="18">
        <v>30</v>
      </c>
      <c r="H78" s="18">
        <f>IF($J$29&gt;0,$F78+($G78*$J$29),$E78)</f>
        <v>105</v>
      </c>
      <c r="I78" s="185">
        <v>1</v>
      </c>
      <c r="J78" s="17">
        <f>H78*I78*$J$25</f>
        <v>78750</v>
      </c>
      <c r="K78" s="16">
        <f t="shared" si="5"/>
        <v>7.6904296875E-2</v>
      </c>
      <c r="L78" s="15" t="s">
        <v>91</v>
      </c>
      <c r="M78" s="15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2:34" ht="17.399999999999999">
      <c r="B79" s="10"/>
      <c r="C79" s="20">
        <v>16</v>
      </c>
      <c r="D79" s="19" t="s">
        <v>93</v>
      </c>
      <c r="E79" s="18">
        <v>961</v>
      </c>
      <c r="F79" s="18">
        <v>161</v>
      </c>
      <c r="G79" s="18">
        <v>80</v>
      </c>
      <c r="H79" s="18">
        <f>IF($J$27&gt;0,$F79+($G79*$J$27),$E79)</f>
        <v>401</v>
      </c>
      <c r="I79" s="185">
        <v>1</v>
      </c>
      <c r="J79" s="17">
        <f>H79*I79*$J$25</f>
        <v>300750</v>
      </c>
      <c r="K79" s="16">
        <f t="shared" si="5"/>
        <v>0.293701171875</v>
      </c>
      <c r="L79" s="15" t="s">
        <v>91</v>
      </c>
      <c r="M79" s="15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2:34" ht="17.399999999999999">
      <c r="B80" s="10"/>
      <c r="C80" s="20">
        <v>17</v>
      </c>
      <c r="D80" s="19" t="s">
        <v>92</v>
      </c>
      <c r="E80" s="18">
        <v>961</v>
      </c>
      <c r="F80" s="18">
        <v>161</v>
      </c>
      <c r="G80" s="18">
        <v>80</v>
      </c>
      <c r="H80" s="18">
        <f>IF($J$27&gt;0,$F80+($G80*$J$27),$E80)</f>
        <v>401</v>
      </c>
      <c r="I80" s="185">
        <v>1</v>
      </c>
      <c r="J80" s="17">
        <f>H80*I80*$J$25</f>
        <v>300750</v>
      </c>
      <c r="K80" s="16">
        <f t="shared" si="5"/>
        <v>0.293701171875</v>
      </c>
      <c r="L80" s="15" t="s">
        <v>91</v>
      </c>
      <c r="M80" s="15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2:34" ht="17.399999999999999">
      <c r="B81" s="10"/>
      <c r="C81" s="20">
        <v>18</v>
      </c>
      <c r="D81" s="19" t="s">
        <v>90</v>
      </c>
      <c r="E81" s="18">
        <v>9</v>
      </c>
      <c r="F81" s="18"/>
      <c r="G81" s="18"/>
      <c r="H81" s="18">
        <f>E81*$H$62</f>
        <v>3.6</v>
      </c>
      <c r="I81" s="185">
        <v>1</v>
      </c>
      <c r="J81" s="17">
        <f>H81*I81*$J$12</f>
        <v>18</v>
      </c>
      <c r="K81" s="16">
        <f t="shared" si="5"/>
        <v>1.7578124999999999E-5</v>
      </c>
      <c r="L81" s="15" t="s">
        <v>89</v>
      </c>
      <c r="M81" s="15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2:34" ht="17.399999999999999">
      <c r="B82" s="10"/>
      <c r="C82" s="20">
        <v>19</v>
      </c>
      <c r="D82" s="19" t="s">
        <v>88</v>
      </c>
      <c r="E82" s="18">
        <v>85</v>
      </c>
      <c r="F82" s="18"/>
      <c r="G82" s="18"/>
      <c r="H82" s="18">
        <f>E82*$H$62</f>
        <v>34</v>
      </c>
      <c r="I82" s="185">
        <v>1</v>
      </c>
      <c r="J82" s="17">
        <f>H82*I82*$J$30</f>
        <v>17000</v>
      </c>
      <c r="K82" s="16">
        <f t="shared" si="5"/>
        <v>1.66015625E-2</v>
      </c>
      <c r="L82" s="15" t="s">
        <v>79</v>
      </c>
      <c r="M82" s="15"/>
      <c r="N82" s="14" t="s">
        <v>87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2:34" ht="17.399999999999999">
      <c r="B83" s="10"/>
      <c r="C83" s="20">
        <v>20</v>
      </c>
      <c r="D83" s="19" t="s">
        <v>86</v>
      </c>
      <c r="E83" s="18">
        <v>85</v>
      </c>
      <c r="F83" s="18"/>
      <c r="G83" s="18"/>
      <c r="H83" s="18">
        <f>E83*$H$62</f>
        <v>34</v>
      </c>
      <c r="I83" s="185">
        <v>1</v>
      </c>
      <c r="J83" s="17">
        <f>H83*I83*$J$32</f>
        <v>17000</v>
      </c>
      <c r="K83" s="16">
        <f t="shared" si="5"/>
        <v>1.66015625E-2</v>
      </c>
      <c r="L83" s="15" t="s">
        <v>77</v>
      </c>
      <c r="M83" s="15"/>
      <c r="N83" s="14" t="s">
        <v>85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2:34" ht="17.399999999999999">
      <c r="B84" s="10"/>
      <c r="C84" s="20">
        <v>21</v>
      </c>
      <c r="D84" s="19" t="s">
        <v>84</v>
      </c>
      <c r="E84" s="18">
        <v>85</v>
      </c>
      <c r="F84" s="18"/>
      <c r="G84" s="18"/>
      <c r="H84" s="18">
        <f>E84*$H$62</f>
        <v>34</v>
      </c>
      <c r="I84" s="185">
        <v>1</v>
      </c>
      <c r="J84" s="17">
        <f>H84*I84*$J$34</f>
        <v>17000</v>
      </c>
      <c r="K84" s="16">
        <f t="shared" si="5"/>
        <v>1.66015625E-2</v>
      </c>
      <c r="L84" s="15" t="s">
        <v>75</v>
      </c>
      <c r="M84" s="15"/>
      <c r="N84" s="14" t="s">
        <v>83</v>
      </c>
      <c r="O84" s="14"/>
      <c r="P84" s="14"/>
      <c r="Q84" s="168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2:34" ht="17.399999999999999">
      <c r="B85" s="10"/>
      <c r="C85" s="20">
        <v>22</v>
      </c>
      <c r="D85" s="19" t="s">
        <v>82</v>
      </c>
      <c r="E85" s="18">
        <v>85</v>
      </c>
      <c r="F85" s="18"/>
      <c r="G85" s="18"/>
      <c r="H85" s="18">
        <f>E85*$H$62</f>
        <v>34</v>
      </c>
      <c r="I85" s="185">
        <v>1</v>
      </c>
      <c r="J85" s="17">
        <f>H85*I85*$J$36</f>
        <v>0</v>
      </c>
      <c r="K85" s="16">
        <f t="shared" si="5"/>
        <v>0</v>
      </c>
      <c r="L85" s="15" t="s">
        <v>73</v>
      </c>
      <c r="M85" s="15"/>
      <c r="N85" s="14" t="s">
        <v>81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2:34" ht="17.399999999999999">
      <c r="B86" s="10"/>
      <c r="C86" s="20">
        <v>23</v>
      </c>
      <c r="D86" s="19" t="s">
        <v>80</v>
      </c>
      <c r="E86" s="18">
        <v>165</v>
      </c>
      <c r="F86" s="18">
        <v>15</v>
      </c>
      <c r="G86" s="18">
        <v>30</v>
      </c>
      <c r="H86" s="18">
        <f>IF($J$31&gt;0,$F86+($G86*$J$31),$E86)</f>
        <v>105</v>
      </c>
      <c r="I86" s="185">
        <v>1</v>
      </c>
      <c r="J86" s="17">
        <f>H86*I86*$J$30</f>
        <v>52500</v>
      </c>
      <c r="K86" s="16">
        <f t="shared" si="5"/>
        <v>5.126953125E-2</v>
      </c>
      <c r="L86" s="15" t="s">
        <v>79</v>
      </c>
      <c r="M86" s="15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2:34" ht="17.399999999999999">
      <c r="B87" s="10"/>
      <c r="C87" s="20">
        <v>24</v>
      </c>
      <c r="D87" s="19" t="s">
        <v>78</v>
      </c>
      <c r="E87" s="18">
        <v>165</v>
      </c>
      <c r="F87" s="18">
        <v>15</v>
      </c>
      <c r="G87" s="18">
        <v>30</v>
      </c>
      <c r="H87" s="18">
        <f>IF($J$33&gt;0,$F87+($G87*$J$33),$E87)</f>
        <v>105</v>
      </c>
      <c r="I87" s="185">
        <v>1</v>
      </c>
      <c r="J87" s="17">
        <f>H87*I87*$J$32</f>
        <v>52500</v>
      </c>
      <c r="K87" s="16">
        <f t="shared" si="5"/>
        <v>5.126953125E-2</v>
      </c>
      <c r="L87" s="15" t="s">
        <v>77</v>
      </c>
      <c r="M87" s="15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2:34" ht="17.399999999999999">
      <c r="B88" s="10"/>
      <c r="C88" s="20">
        <v>25</v>
      </c>
      <c r="D88" s="19" t="s">
        <v>76</v>
      </c>
      <c r="E88" s="18">
        <v>165</v>
      </c>
      <c r="F88" s="18">
        <v>15</v>
      </c>
      <c r="G88" s="18">
        <v>30</v>
      </c>
      <c r="H88" s="18">
        <f>IF($J$35&gt;0,$F88+($G88*$J$35),$E88)</f>
        <v>105</v>
      </c>
      <c r="I88" s="185">
        <v>1</v>
      </c>
      <c r="J88" s="17">
        <f>H88*I88*$J$34</f>
        <v>52500</v>
      </c>
      <c r="K88" s="16">
        <f t="shared" si="5"/>
        <v>5.126953125E-2</v>
      </c>
      <c r="L88" s="15" t="s">
        <v>75</v>
      </c>
      <c r="M88" s="15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2:34" ht="17.399999999999999">
      <c r="B89" s="10"/>
      <c r="C89" s="20">
        <v>26</v>
      </c>
      <c r="D89" s="19" t="s">
        <v>74</v>
      </c>
      <c r="E89" s="18">
        <v>165</v>
      </c>
      <c r="F89" s="18">
        <v>15</v>
      </c>
      <c r="G89" s="18">
        <v>30</v>
      </c>
      <c r="H89" s="18">
        <f>IF($J$37&gt;0,$F89+($G89*$J$37),$E89)</f>
        <v>165</v>
      </c>
      <c r="I89" s="185">
        <v>1</v>
      </c>
      <c r="J89" s="17">
        <f>H89*I89*$J$36</f>
        <v>0</v>
      </c>
      <c r="K89" s="16">
        <f t="shared" si="5"/>
        <v>0</v>
      </c>
      <c r="L89" s="15" t="s">
        <v>73</v>
      </c>
      <c r="M89" s="15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2:34" ht="17.399999999999999">
      <c r="B90" s="10"/>
      <c r="C90" s="20">
        <v>27</v>
      </c>
      <c r="D90" s="19" t="s">
        <v>72</v>
      </c>
      <c r="E90" s="18">
        <v>85</v>
      </c>
      <c r="F90" s="18"/>
      <c r="G90" s="18"/>
      <c r="H90" s="18">
        <f>E90*$H$62</f>
        <v>34</v>
      </c>
      <c r="I90" s="185">
        <v>1</v>
      </c>
      <c r="J90" s="17">
        <f>H90*I90*$J$38</f>
        <v>0</v>
      </c>
      <c r="K90" s="16">
        <f t="shared" si="5"/>
        <v>0</v>
      </c>
      <c r="L90" s="15" t="s">
        <v>69</v>
      </c>
      <c r="M90" s="15"/>
      <c r="N90" s="14" t="s">
        <v>71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2:34" ht="17.399999999999999">
      <c r="B91" s="10"/>
      <c r="C91" s="20">
        <v>28</v>
      </c>
      <c r="D91" s="19" t="s">
        <v>70</v>
      </c>
      <c r="E91" s="18">
        <v>165</v>
      </c>
      <c r="F91" s="18">
        <v>15</v>
      </c>
      <c r="G91" s="18">
        <v>30</v>
      </c>
      <c r="H91" s="18">
        <f>IF($J$39&gt;0,$F91+($G91*$J$39),$E91)</f>
        <v>165</v>
      </c>
      <c r="I91" s="185">
        <v>1</v>
      </c>
      <c r="J91" s="17">
        <f>H91*I91*$J$38</f>
        <v>0</v>
      </c>
      <c r="K91" s="16">
        <f t="shared" si="5"/>
        <v>0</v>
      </c>
      <c r="L91" s="15" t="s">
        <v>69</v>
      </c>
      <c r="M91" s="15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2:34" ht="17.399999999999999">
      <c r="B92" s="10"/>
      <c r="C92" s="20">
        <v>29</v>
      </c>
      <c r="D92" s="19" t="s">
        <v>68</v>
      </c>
      <c r="E92" s="18">
        <v>85</v>
      </c>
      <c r="F92" s="18"/>
      <c r="G92" s="18"/>
      <c r="H92" s="18">
        <f>E92*$H$62</f>
        <v>34</v>
      </c>
      <c r="I92" s="185">
        <v>1</v>
      </c>
      <c r="J92" s="17">
        <f>H92*I92*$J$47</f>
        <v>170000</v>
      </c>
      <c r="K92" s="16">
        <f t="shared" si="5"/>
        <v>0.166015625</v>
      </c>
      <c r="L92" s="15" t="s">
        <v>67</v>
      </c>
      <c r="M92" s="15"/>
      <c r="N92" s="14" t="s">
        <v>66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2:34" ht="17.399999999999999">
      <c r="B93" s="10"/>
      <c r="C93" s="20">
        <v>30</v>
      </c>
      <c r="D93" s="19" t="s">
        <v>65</v>
      </c>
      <c r="E93" s="30">
        <v>300</v>
      </c>
      <c r="F93" s="30"/>
      <c r="G93" s="30"/>
      <c r="H93" s="18">
        <f>E93*$H$62</f>
        <v>120</v>
      </c>
      <c r="I93" s="185">
        <v>1</v>
      </c>
      <c r="J93" s="17">
        <f>H93*I93*$J$40</f>
        <v>12000000</v>
      </c>
      <c r="K93" s="16">
        <f t="shared" si="5"/>
        <v>11.71875</v>
      </c>
      <c r="L93" s="15" t="s">
        <v>64</v>
      </c>
      <c r="M93" s="15"/>
      <c r="N93" s="14" t="s">
        <v>63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2:34" ht="17.399999999999999">
      <c r="B94" s="10"/>
      <c r="C94" s="20">
        <v>31</v>
      </c>
      <c r="D94" s="19" t="s">
        <v>62</v>
      </c>
      <c r="E94" s="18">
        <v>225</v>
      </c>
      <c r="F94" s="18">
        <v>25</v>
      </c>
      <c r="G94" s="18">
        <v>40</v>
      </c>
      <c r="H94" s="18">
        <f>IF($J$42&gt;0,$F94+($G94*$J$42),$E94)</f>
        <v>145</v>
      </c>
      <c r="I94" s="185">
        <v>1</v>
      </c>
      <c r="J94" s="17">
        <f>H94*I94*$J$41</f>
        <v>3625000</v>
      </c>
      <c r="K94" s="16">
        <f t="shared" si="5"/>
        <v>3.5400390625</v>
      </c>
      <c r="L94" s="15" t="s">
        <v>52</v>
      </c>
      <c r="M94" s="15"/>
      <c r="N94" s="14" t="s">
        <v>61</v>
      </c>
      <c r="O94" s="15" t="s">
        <v>60</v>
      </c>
      <c r="P94" s="15" t="s">
        <v>60</v>
      </c>
      <c r="Q94" s="15" t="s">
        <v>60</v>
      </c>
      <c r="R94" s="15" t="s">
        <v>60</v>
      </c>
      <c r="S94" s="15" t="s">
        <v>60</v>
      </c>
      <c r="T94" s="15" t="s">
        <v>60</v>
      </c>
      <c r="U94" s="15" t="s">
        <v>60</v>
      </c>
      <c r="V94" s="15" t="s">
        <v>60</v>
      </c>
      <c r="W94" s="15" t="s">
        <v>60</v>
      </c>
      <c r="X94" s="15" t="s">
        <v>60</v>
      </c>
      <c r="Y94" s="15" t="s">
        <v>60</v>
      </c>
      <c r="Z94" s="15" t="s">
        <v>60</v>
      </c>
      <c r="AA94" s="15" t="s">
        <v>60</v>
      </c>
      <c r="AB94" s="15" t="s">
        <v>60</v>
      </c>
      <c r="AC94" s="15" t="s">
        <v>60</v>
      </c>
      <c r="AD94" s="15" t="s">
        <v>60</v>
      </c>
      <c r="AE94" s="14"/>
      <c r="AF94" s="14" t="s">
        <v>59</v>
      </c>
      <c r="AG94" s="14"/>
      <c r="AH94" s="14"/>
    </row>
    <row r="95" spans="2:34" ht="17.399999999999999">
      <c r="B95" s="10"/>
      <c r="C95" s="20">
        <v>32</v>
      </c>
      <c r="D95" s="19" t="s">
        <v>58</v>
      </c>
      <c r="E95" s="18">
        <v>225</v>
      </c>
      <c r="F95" s="18">
        <v>25</v>
      </c>
      <c r="G95" s="18">
        <v>40</v>
      </c>
      <c r="H95" s="18">
        <f>IF($J$45&gt;0,$F95+($G95*$J$45),$E95)</f>
        <v>145</v>
      </c>
      <c r="I95" s="185">
        <v>1</v>
      </c>
      <c r="J95" s="17">
        <f>H95*I95*$J$44</f>
        <v>5437500</v>
      </c>
      <c r="K95" s="16">
        <f t="shared" si="5"/>
        <v>5.31005859375</v>
      </c>
      <c r="L95" s="15" t="s">
        <v>57</v>
      </c>
      <c r="M95" s="15"/>
      <c r="N95" s="14" t="s">
        <v>56</v>
      </c>
      <c r="O95" s="15" t="s">
        <v>55</v>
      </c>
      <c r="P95" s="15" t="s">
        <v>55</v>
      </c>
      <c r="Q95" s="15" t="s">
        <v>55</v>
      </c>
      <c r="R95" s="15" t="s">
        <v>55</v>
      </c>
      <c r="S95" s="15" t="s">
        <v>55</v>
      </c>
      <c r="T95" s="15" t="s">
        <v>55</v>
      </c>
      <c r="U95" s="15" t="s">
        <v>55</v>
      </c>
      <c r="V95" s="15" t="s">
        <v>55</v>
      </c>
      <c r="W95" s="15" t="s">
        <v>55</v>
      </c>
      <c r="X95" s="15" t="s">
        <v>55</v>
      </c>
      <c r="Y95" s="15" t="s">
        <v>55</v>
      </c>
      <c r="Z95" s="15" t="s">
        <v>55</v>
      </c>
      <c r="AA95" s="15" t="s">
        <v>55</v>
      </c>
      <c r="AB95" s="15" t="s">
        <v>55</v>
      </c>
      <c r="AC95" s="15" t="s">
        <v>55</v>
      </c>
      <c r="AD95" s="15" t="s">
        <v>55</v>
      </c>
      <c r="AE95" s="14"/>
      <c r="AF95" s="14" t="s">
        <v>54</v>
      </c>
      <c r="AG95" s="14"/>
      <c r="AH95" s="14"/>
    </row>
    <row r="96" spans="2:34" ht="17.399999999999999">
      <c r="B96" s="10"/>
      <c r="C96" s="20">
        <v>33</v>
      </c>
      <c r="D96" s="19" t="s">
        <v>53</v>
      </c>
      <c r="E96" s="18">
        <v>225</v>
      </c>
      <c r="F96" s="18">
        <v>25</v>
      </c>
      <c r="G96" s="18">
        <v>40</v>
      </c>
      <c r="H96" s="18">
        <f>IF($J$43&gt;0,$F96+($G96*$J$43),$E96)</f>
        <v>145</v>
      </c>
      <c r="I96" s="185">
        <v>1</v>
      </c>
      <c r="J96" s="17">
        <f>H96*I96*$J$41</f>
        <v>3625000</v>
      </c>
      <c r="K96" s="16">
        <f t="shared" si="5"/>
        <v>3.5400390625</v>
      </c>
      <c r="L96" s="15" t="s">
        <v>52</v>
      </c>
      <c r="M96" s="15"/>
      <c r="N96" s="14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4"/>
      <c r="AF96" s="14"/>
      <c r="AG96" s="14"/>
      <c r="AH96" s="14"/>
    </row>
    <row r="97" spans="2:34" ht="17.399999999999999">
      <c r="B97" s="10"/>
      <c r="C97" s="20">
        <v>34</v>
      </c>
      <c r="D97" s="19" t="s">
        <v>51</v>
      </c>
      <c r="E97" s="18">
        <v>225</v>
      </c>
      <c r="F97" s="18">
        <v>25</v>
      </c>
      <c r="G97" s="18">
        <v>40</v>
      </c>
      <c r="H97" s="18">
        <f>IF($J$46&gt;0,$F97+($G97*$J$46),$E97)</f>
        <v>145</v>
      </c>
      <c r="I97" s="185">
        <v>1</v>
      </c>
      <c r="J97" s="17">
        <f>H97*I97*$J$44</f>
        <v>5437500</v>
      </c>
      <c r="K97" s="16">
        <f t="shared" si="5"/>
        <v>5.31005859375</v>
      </c>
      <c r="L97" s="15" t="s">
        <v>12</v>
      </c>
      <c r="M97" s="15"/>
      <c r="N97" s="14"/>
      <c r="O97" s="15" t="s">
        <v>50</v>
      </c>
      <c r="P97" s="15" t="s">
        <v>50</v>
      </c>
      <c r="Q97" s="15" t="s">
        <v>50</v>
      </c>
      <c r="R97" s="15" t="s">
        <v>50</v>
      </c>
      <c r="S97" s="15" t="s">
        <v>50</v>
      </c>
      <c r="T97" s="15" t="s">
        <v>50</v>
      </c>
      <c r="U97" s="15" t="s">
        <v>50</v>
      </c>
      <c r="V97" s="15" t="s">
        <v>50</v>
      </c>
      <c r="W97" s="15" t="s">
        <v>50</v>
      </c>
      <c r="X97" s="15" t="s">
        <v>50</v>
      </c>
      <c r="Y97" s="15" t="s">
        <v>50</v>
      </c>
      <c r="Z97" s="15" t="s">
        <v>50</v>
      </c>
      <c r="AA97" s="15" t="s">
        <v>50</v>
      </c>
      <c r="AB97" s="15" t="s">
        <v>50</v>
      </c>
      <c r="AC97" s="15" t="s">
        <v>50</v>
      </c>
      <c r="AD97" s="15" t="s">
        <v>50</v>
      </c>
      <c r="AE97" s="14"/>
      <c r="AF97" s="14" t="s">
        <v>49</v>
      </c>
      <c r="AG97" s="14"/>
      <c r="AH97" s="14"/>
    </row>
    <row r="98" spans="2:34" ht="17.399999999999999">
      <c r="B98" s="10"/>
      <c r="C98" s="20">
        <v>35</v>
      </c>
      <c r="D98" s="19" t="s">
        <v>258</v>
      </c>
      <c r="E98" s="18">
        <v>33</v>
      </c>
      <c r="F98" s="18"/>
      <c r="G98" s="18"/>
      <c r="H98" s="18">
        <f>E98*$H$62</f>
        <v>13.200000000000001</v>
      </c>
      <c r="I98" s="185">
        <v>1</v>
      </c>
      <c r="J98" s="17">
        <f>H98*I98*J12</f>
        <v>66</v>
      </c>
      <c r="K98" s="16">
        <f t="shared" si="5"/>
        <v>6.4453125000000003E-5</v>
      </c>
      <c r="L98" s="15"/>
      <c r="M98" s="15"/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4"/>
      <c r="AF98" s="14"/>
      <c r="AG98" s="14"/>
      <c r="AH98" s="14"/>
    </row>
    <row r="99" spans="2:34" ht="17.399999999999999">
      <c r="B99" s="10"/>
      <c r="C99" s="20">
        <v>36</v>
      </c>
      <c r="D99" s="19" t="s">
        <v>259</v>
      </c>
      <c r="E99" s="296">
        <v>647</v>
      </c>
      <c r="F99" s="18"/>
      <c r="G99" s="18"/>
      <c r="H99" s="18">
        <f>E99*$H$62</f>
        <v>258.8</v>
      </c>
      <c r="I99" s="185">
        <v>1</v>
      </c>
      <c r="J99" s="17">
        <f>H99*I99*(J41+J44)</f>
        <v>16175000</v>
      </c>
      <c r="K99" s="16">
        <f t="shared" si="5"/>
        <v>15.7958984375</v>
      </c>
      <c r="L99" s="15"/>
      <c r="M99" s="15"/>
      <c r="N99" s="14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4"/>
      <c r="AF99" s="14"/>
      <c r="AG99" s="14"/>
      <c r="AH99" s="14"/>
    </row>
    <row r="100" spans="2:34" ht="17.399999999999999">
      <c r="B100" s="10"/>
      <c r="C100" s="20">
        <v>37</v>
      </c>
      <c r="D100" s="19" t="s">
        <v>260</v>
      </c>
      <c r="E100" s="296">
        <v>513</v>
      </c>
      <c r="F100" s="18"/>
      <c r="G100" s="18"/>
      <c r="H100" s="18">
        <f>E100*$H$62</f>
        <v>205.20000000000002</v>
      </c>
      <c r="I100" s="185">
        <v>1</v>
      </c>
      <c r="J100" s="17">
        <f>H100*I100*J25</f>
        <v>153900</v>
      </c>
      <c r="K100" s="16">
        <f>J100/(1024*1000)</f>
        <v>0.15029296875000001</v>
      </c>
      <c r="L100" s="15"/>
      <c r="M100" s="15"/>
      <c r="N100" s="14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4"/>
      <c r="AF100" s="14"/>
      <c r="AG100" s="14"/>
      <c r="AH100" s="14"/>
    </row>
    <row r="101" spans="2:34" ht="17.399999999999999">
      <c r="B101" s="10"/>
      <c r="C101" s="20">
        <v>38</v>
      </c>
      <c r="D101" s="19" t="s">
        <v>466</v>
      </c>
      <c r="E101" s="296">
        <v>49</v>
      </c>
      <c r="F101" s="18"/>
      <c r="G101" s="18"/>
      <c r="H101" s="18">
        <f>E101*$H$62</f>
        <v>19.600000000000001</v>
      </c>
      <c r="I101" s="185">
        <v>1</v>
      </c>
      <c r="J101" s="17">
        <f>H101*I101*J12*J26</f>
        <v>294</v>
      </c>
      <c r="K101" s="16">
        <f>J101/(1024*1000)</f>
        <v>2.8710937499999998E-4</v>
      </c>
      <c r="L101" s="15"/>
      <c r="M101" s="15"/>
      <c r="N101" s="14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4"/>
      <c r="AF101" s="14"/>
      <c r="AG101" s="14"/>
      <c r="AH101" s="14"/>
    </row>
    <row r="102" spans="2:34" ht="17.399999999999999">
      <c r="B102" s="10"/>
      <c r="C102" s="20">
        <v>39</v>
      </c>
      <c r="D102" s="19" t="s">
        <v>467</v>
      </c>
      <c r="E102" s="296">
        <v>9</v>
      </c>
      <c r="F102" s="18"/>
      <c r="G102" s="18"/>
      <c r="H102" s="18">
        <f>E102*$H$62</f>
        <v>3.6</v>
      </c>
      <c r="I102" s="185">
        <v>1</v>
      </c>
      <c r="J102" s="17">
        <f>H102*I102*J12</f>
        <v>18</v>
      </c>
      <c r="K102" s="16">
        <f>J102/(1024*1000)</f>
        <v>1.7578124999999999E-5</v>
      </c>
      <c r="L102" s="15"/>
      <c r="M102" s="15"/>
      <c r="N102" s="14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4"/>
      <c r="AF102" s="14"/>
      <c r="AG102" s="14"/>
      <c r="AH102" s="14"/>
    </row>
    <row r="103" spans="2:34" ht="34.799999999999997">
      <c r="B103" s="10"/>
      <c r="C103" s="29" t="s">
        <v>48</v>
      </c>
      <c r="D103" s="28" t="s">
        <v>47</v>
      </c>
      <c r="E103" s="27" t="s">
        <v>46</v>
      </c>
      <c r="F103" s="27"/>
      <c r="G103" s="27"/>
      <c r="H103" s="27" t="s">
        <v>45</v>
      </c>
      <c r="I103" s="27" t="s">
        <v>44</v>
      </c>
      <c r="J103" s="26" t="s">
        <v>43</v>
      </c>
      <c r="K103" s="25" t="s">
        <v>42</v>
      </c>
      <c r="L103" s="15"/>
      <c r="M103" s="15"/>
      <c r="N103" s="14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4"/>
      <c r="AF103" s="14"/>
      <c r="AG103" s="14"/>
      <c r="AH103" s="14"/>
    </row>
    <row r="104" spans="2:34" ht="17.399999999999999">
      <c r="B104" s="10"/>
      <c r="C104" s="24">
        <v>40</v>
      </c>
      <c r="D104" s="23" t="s">
        <v>41</v>
      </c>
      <c r="E104" s="22">
        <v>6</v>
      </c>
      <c r="F104" s="22"/>
      <c r="G104" s="22"/>
      <c r="H104" s="22">
        <f>E104</f>
        <v>6</v>
      </c>
      <c r="I104" s="187">
        <v>1</v>
      </c>
      <c r="J104" s="17">
        <f>H104*I104*$J$12</f>
        <v>30</v>
      </c>
      <c r="K104" s="21">
        <f>J104/(1024*1000)</f>
        <v>2.9296874999999999E-5</v>
      </c>
      <c r="L104" s="15" t="s">
        <v>40</v>
      </c>
      <c r="M104" s="15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2:34" ht="17.399999999999999">
      <c r="B105" s="10"/>
      <c r="C105" s="297">
        <v>41</v>
      </c>
      <c r="D105" s="23" t="s">
        <v>405</v>
      </c>
      <c r="E105" s="295">
        <v>40</v>
      </c>
      <c r="F105" s="295"/>
      <c r="G105" s="295"/>
      <c r="H105" s="295">
        <f t="shared" ref="H105:H113" si="6">E105*$H$62</f>
        <v>16</v>
      </c>
      <c r="I105" s="187">
        <v>1</v>
      </c>
      <c r="J105" s="298">
        <f>H105*I105*($J$53+$J$55+$J$57+$J$59)*$J$13</f>
        <v>432288000</v>
      </c>
      <c r="K105" s="299">
        <f>J105/(1024*1000)</f>
        <v>422.15625</v>
      </c>
      <c r="L105" s="15"/>
      <c r="M105" s="15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2:34" ht="17.399999999999999">
      <c r="B106" s="10"/>
      <c r="C106" s="24">
        <v>42</v>
      </c>
      <c r="D106" s="19" t="s">
        <v>39</v>
      </c>
      <c r="E106" s="296">
        <v>1045</v>
      </c>
      <c r="F106" s="18"/>
      <c r="G106" s="18"/>
      <c r="H106" s="18">
        <f t="shared" si="6"/>
        <v>418</v>
      </c>
      <c r="I106" s="187">
        <v>1</v>
      </c>
      <c r="J106" s="17">
        <f>H106*I106*$J$53*$J$13</f>
        <v>7524000000</v>
      </c>
      <c r="K106" s="16">
        <f t="shared" ref="K106:K113" si="7">J106/(1024*1000)</f>
        <v>7347.65625</v>
      </c>
      <c r="L106" s="15" t="s">
        <v>38</v>
      </c>
      <c r="M106" s="15"/>
      <c r="N106" s="14" t="s">
        <v>37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 t="s">
        <v>36</v>
      </c>
      <c r="AG106" s="14"/>
      <c r="AH106" s="14"/>
    </row>
    <row r="107" spans="2:34" ht="17.399999999999999">
      <c r="B107" s="10"/>
      <c r="C107" s="297">
        <v>43</v>
      </c>
      <c r="D107" s="19" t="s">
        <v>35</v>
      </c>
      <c r="E107" s="296">
        <v>1045</v>
      </c>
      <c r="F107" s="18"/>
      <c r="G107" s="18"/>
      <c r="H107" s="18">
        <f t="shared" si="6"/>
        <v>418</v>
      </c>
      <c r="I107" s="187">
        <v>1</v>
      </c>
      <c r="J107" s="17">
        <f>H107*I107*$J$53*$J$15</f>
        <v>7524000000</v>
      </c>
      <c r="K107" s="16">
        <f t="shared" si="7"/>
        <v>7347.65625</v>
      </c>
      <c r="L107" s="15" t="s">
        <v>34</v>
      </c>
      <c r="M107" s="15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 t="s">
        <v>33</v>
      </c>
      <c r="AG107" s="14"/>
      <c r="AH107" s="14"/>
    </row>
    <row r="108" spans="2:34" ht="17.399999999999999">
      <c r="B108" s="10"/>
      <c r="C108" s="24">
        <v>44</v>
      </c>
      <c r="D108" s="19" t="s">
        <v>32</v>
      </c>
      <c r="E108" s="296">
        <v>248</v>
      </c>
      <c r="F108" s="18"/>
      <c r="G108" s="18"/>
      <c r="H108" s="18">
        <f t="shared" si="6"/>
        <v>99.2</v>
      </c>
      <c r="I108" s="187">
        <v>1</v>
      </c>
      <c r="J108" s="17">
        <f>H108*I108*$J$57*$J$13</f>
        <v>178560000</v>
      </c>
      <c r="K108" s="16">
        <f t="shared" si="7"/>
        <v>174.375</v>
      </c>
      <c r="L108" s="15" t="s">
        <v>31</v>
      </c>
      <c r="M108" s="15"/>
      <c r="N108" s="14" t="s">
        <v>30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2:34" ht="17.399999999999999">
      <c r="B109" s="10"/>
      <c r="C109" s="297">
        <v>45</v>
      </c>
      <c r="D109" s="19" t="s">
        <v>29</v>
      </c>
      <c r="E109" s="296">
        <v>248</v>
      </c>
      <c r="F109" s="18"/>
      <c r="G109" s="18"/>
      <c r="H109" s="18">
        <f t="shared" si="6"/>
        <v>99.2</v>
      </c>
      <c r="I109" s="187">
        <v>1</v>
      </c>
      <c r="J109" s="17">
        <f>H109*I109*$J$57*$J$15</f>
        <v>178560000</v>
      </c>
      <c r="K109" s="16">
        <f t="shared" si="7"/>
        <v>174.375</v>
      </c>
      <c r="L109" s="15" t="s">
        <v>28</v>
      </c>
      <c r="M109" s="15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2:34" ht="17.399999999999999">
      <c r="B110" s="10"/>
      <c r="C110" s="24">
        <v>46</v>
      </c>
      <c r="D110" s="19" t="s">
        <v>27</v>
      </c>
      <c r="E110" s="296">
        <v>274</v>
      </c>
      <c r="F110" s="18"/>
      <c r="G110" s="18"/>
      <c r="H110" s="18">
        <f t="shared" si="6"/>
        <v>109.60000000000001</v>
      </c>
      <c r="I110" s="187">
        <v>1</v>
      </c>
      <c r="J110" s="17">
        <f>H110*I110*$J$55*$J$13</f>
        <v>789120000.00000012</v>
      </c>
      <c r="K110" s="16">
        <f t="shared" si="7"/>
        <v>770.62500000000011</v>
      </c>
      <c r="L110" s="15" t="s">
        <v>26</v>
      </c>
      <c r="M110" s="15"/>
      <c r="N110" s="14" t="s">
        <v>25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2:34" ht="17.399999999999999">
      <c r="B111" s="10"/>
      <c r="C111" s="297">
        <v>47</v>
      </c>
      <c r="D111" s="19" t="s">
        <v>24</v>
      </c>
      <c r="E111" s="18">
        <v>274</v>
      </c>
      <c r="F111" s="18"/>
      <c r="G111" s="18"/>
      <c r="H111" s="18">
        <f t="shared" si="6"/>
        <v>109.60000000000001</v>
      </c>
      <c r="I111" s="187">
        <v>1</v>
      </c>
      <c r="J111" s="17">
        <f>H111*I111*$J$55*$J$15</f>
        <v>789120000.00000012</v>
      </c>
      <c r="K111" s="16">
        <f t="shared" si="7"/>
        <v>770.62500000000011</v>
      </c>
      <c r="L111" s="15" t="s">
        <v>23</v>
      </c>
      <c r="M111" s="15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2:34" ht="17.399999999999999">
      <c r="B112" s="10"/>
      <c r="C112" s="24">
        <v>48</v>
      </c>
      <c r="D112" s="19" t="s">
        <v>22</v>
      </c>
      <c r="E112" s="18">
        <v>194</v>
      </c>
      <c r="F112" s="18"/>
      <c r="G112" s="18"/>
      <c r="H112" s="18">
        <f t="shared" si="6"/>
        <v>77.600000000000009</v>
      </c>
      <c r="I112" s="187">
        <v>1</v>
      </c>
      <c r="J112" s="17">
        <f>H112*I112*$J$59*$J$13</f>
        <v>1396800.0000000002</v>
      </c>
      <c r="K112" s="16">
        <f t="shared" si="7"/>
        <v>1.3640625000000002</v>
      </c>
      <c r="L112" s="15" t="s">
        <v>21</v>
      </c>
      <c r="M112" s="15"/>
      <c r="N112" s="14" t="s">
        <v>20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2:34" ht="17.399999999999999">
      <c r="B113" s="10"/>
      <c r="C113" s="297">
        <v>49</v>
      </c>
      <c r="D113" s="19" t="s">
        <v>19</v>
      </c>
      <c r="E113" s="18">
        <v>194</v>
      </c>
      <c r="F113" s="18"/>
      <c r="G113" s="18"/>
      <c r="H113" s="18">
        <f t="shared" si="6"/>
        <v>77.600000000000009</v>
      </c>
      <c r="I113" s="187">
        <v>1</v>
      </c>
      <c r="J113" s="17">
        <f>H113*I113*$J$59*$J$15</f>
        <v>1396800.0000000002</v>
      </c>
      <c r="K113" s="16">
        <f t="shared" si="7"/>
        <v>1.3640625000000002</v>
      </c>
      <c r="L113" s="15" t="s">
        <v>18</v>
      </c>
      <c r="M113" s="15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5" spans="2:34">
      <c r="B115" s="169"/>
      <c r="C115" s="170"/>
      <c r="D115" s="170"/>
      <c r="E115" s="170"/>
      <c r="F115" s="170"/>
      <c r="G115" s="170"/>
      <c r="H115" s="170"/>
      <c r="I115" s="170"/>
      <c r="J115" s="170"/>
      <c r="K115" s="171"/>
      <c r="L115" s="170"/>
      <c r="M115" s="170"/>
      <c r="N115" s="172"/>
      <c r="O115" s="172"/>
      <c r="P115" s="172"/>
      <c r="Q115" s="172"/>
      <c r="R115" s="172"/>
      <c r="S115" s="172"/>
    </row>
    <row r="116" spans="2:34">
      <c r="B116" s="169"/>
      <c r="C116" s="170"/>
      <c r="D116" s="170"/>
      <c r="E116" s="170"/>
      <c r="F116" s="170"/>
      <c r="G116" s="170"/>
      <c r="H116" s="170"/>
      <c r="I116" s="170"/>
      <c r="J116" s="170"/>
      <c r="K116" s="171"/>
      <c r="L116" s="170"/>
      <c r="M116" s="170"/>
      <c r="N116" s="172"/>
      <c r="O116" s="172"/>
      <c r="P116" s="172"/>
      <c r="Q116" s="172"/>
      <c r="R116" s="172"/>
      <c r="S116" s="172"/>
    </row>
    <row r="117" spans="2:34">
      <c r="B117" s="169"/>
      <c r="C117" s="170"/>
      <c r="D117" s="170"/>
      <c r="E117" s="170"/>
      <c r="F117" s="170"/>
      <c r="G117" s="170"/>
      <c r="H117" s="170"/>
      <c r="I117" s="170"/>
      <c r="J117" s="170"/>
      <c r="K117" s="171"/>
      <c r="L117" s="170"/>
      <c r="M117" s="170"/>
      <c r="N117" s="172"/>
      <c r="O117" s="172"/>
      <c r="P117" s="172"/>
      <c r="Q117" s="172"/>
      <c r="R117" s="172"/>
      <c r="S117" s="172"/>
    </row>
    <row r="118" spans="2:34">
      <c r="B118" s="169"/>
      <c r="C118" s="170"/>
      <c r="D118" s="170"/>
      <c r="E118" s="170"/>
      <c r="F118" s="170"/>
      <c r="G118" s="170"/>
      <c r="H118" s="170"/>
      <c r="I118" s="170"/>
      <c r="J118" s="170"/>
      <c r="K118" s="171"/>
      <c r="L118" s="170"/>
      <c r="M118" s="170"/>
      <c r="N118" s="172"/>
      <c r="O118" s="172"/>
      <c r="P118" s="172"/>
      <c r="Q118" s="172"/>
      <c r="R118" s="172"/>
      <c r="S118" s="172"/>
    </row>
    <row r="119" spans="2:34">
      <c r="B119" s="169"/>
      <c r="C119" s="170"/>
      <c r="D119" s="170"/>
      <c r="E119" s="170"/>
      <c r="F119" s="170"/>
      <c r="G119" s="170"/>
      <c r="H119" s="170"/>
      <c r="I119" s="170"/>
      <c r="J119" s="170"/>
      <c r="K119" s="171"/>
      <c r="L119" s="170"/>
      <c r="M119" s="170"/>
      <c r="N119" s="172"/>
      <c r="O119" s="172"/>
      <c r="P119" s="172"/>
      <c r="Q119" s="172"/>
      <c r="R119" s="172"/>
      <c r="S119" s="172"/>
    </row>
    <row r="120" spans="2:34">
      <c r="B120" s="169"/>
      <c r="C120" s="170"/>
      <c r="D120" s="170"/>
      <c r="E120" s="170"/>
      <c r="F120" s="170"/>
      <c r="G120" s="170"/>
      <c r="H120" s="170"/>
      <c r="I120" s="170"/>
      <c r="J120" s="170"/>
      <c r="K120" s="171"/>
      <c r="L120" s="170"/>
      <c r="M120" s="170"/>
      <c r="N120" s="172"/>
      <c r="O120" s="172"/>
      <c r="P120" s="172"/>
      <c r="Q120" s="172"/>
      <c r="R120" s="172"/>
      <c r="S120" s="172"/>
    </row>
    <row r="121" spans="2:34">
      <c r="B121" s="169"/>
      <c r="C121" s="170"/>
      <c r="D121" s="170"/>
      <c r="E121" s="170"/>
      <c r="F121" s="170"/>
      <c r="G121" s="170"/>
      <c r="H121" s="170"/>
      <c r="I121" s="170"/>
      <c r="J121" s="170"/>
      <c r="K121" s="171"/>
      <c r="L121" s="170"/>
      <c r="M121" s="170"/>
      <c r="N121" s="172"/>
      <c r="O121" s="172"/>
      <c r="P121" s="172"/>
      <c r="Q121" s="172"/>
      <c r="R121" s="172"/>
      <c r="S121" s="172"/>
    </row>
    <row r="122" spans="2:34">
      <c r="B122" s="169"/>
      <c r="C122" s="170"/>
      <c r="D122" s="170"/>
      <c r="E122" s="170"/>
      <c r="F122" s="170"/>
      <c r="G122" s="170"/>
      <c r="H122" s="170"/>
      <c r="I122" s="170"/>
      <c r="J122" s="170"/>
      <c r="K122" s="171"/>
      <c r="L122" s="170"/>
      <c r="M122" s="170"/>
      <c r="N122" s="172"/>
      <c r="O122" s="172"/>
      <c r="P122" s="172"/>
      <c r="Q122" s="172"/>
      <c r="R122" s="172"/>
      <c r="S122" s="172"/>
    </row>
    <row r="123" spans="2:34">
      <c r="B123" s="169"/>
      <c r="C123" s="170"/>
      <c r="D123" s="170"/>
      <c r="E123" s="170"/>
      <c r="F123" s="170"/>
      <c r="G123" s="170"/>
      <c r="H123" s="170"/>
      <c r="I123" s="170"/>
      <c r="J123" s="170"/>
      <c r="K123" s="171"/>
      <c r="L123" s="170"/>
      <c r="M123" s="170"/>
      <c r="N123" s="172"/>
      <c r="O123" s="172"/>
      <c r="P123" s="172"/>
      <c r="Q123" s="172"/>
      <c r="R123" s="172"/>
      <c r="S123" s="172"/>
    </row>
    <row r="124" spans="2:34">
      <c r="B124" s="169"/>
      <c r="C124" s="170"/>
      <c r="D124" s="170"/>
      <c r="E124" s="170"/>
      <c r="F124" s="170"/>
      <c r="G124" s="170"/>
      <c r="H124" s="170"/>
      <c r="I124" s="170"/>
      <c r="J124" s="170"/>
      <c r="K124" s="171"/>
      <c r="L124" s="170"/>
      <c r="M124" s="170"/>
      <c r="N124" s="172"/>
      <c r="O124" s="172"/>
      <c r="P124" s="172"/>
      <c r="Q124" s="172"/>
      <c r="R124" s="172"/>
      <c r="S124" s="172"/>
    </row>
    <row r="125" spans="2:34">
      <c r="B125" s="169"/>
      <c r="C125" s="170"/>
      <c r="D125" s="170"/>
      <c r="E125" s="170"/>
      <c r="F125" s="170"/>
      <c r="G125" s="170"/>
      <c r="H125" s="170"/>
      <c r="I125" s="170"/>
      <c r="J125" s="170"/>
      <c r="K125" s="171"/>
      <c r="L125" s="170"/>
      <c r="M125" s="170"/>
      <c r="N125" s="172"/>
      <c r="O125" s="172"/>
      <c r="P125" s="172"/>
      <c r="Q125" s="172"/>
      <c r="R125" s="172"/>
      <c r="S125" s="172"/>
    </row>
    <row r="126" spans="2:34">
      <c r="B126" s="169"/>
      <c r="C126" s="170"/>
      <c r="D126" s="170"/>
      <c r="E126" s="170"/>
      <c r="F126" s="170"/>
      <c r="G126" s="170"/>
      <c r="H126" s="170"/>
      <c r="I126" s="170"/>
      <c r="J126" s="170"/>
      <c r="K126" s="171"/>
      <c r="L126" s="170"/>
      <c r="M126" s="170"/>
      <c r="N126" s="172"/>
      <c r="O126" s="172"/>
      <c r="P126" s="172"/>
      <c r="Q126" s="172"/>
      <c r="R126" s="172"/>
      <c r="S126" s="172"/>
    </row>
    <row r="127" spans="2:34">
      <c r="B127" s="169"/>
      <c r="C127" s="170"/>
      <c r="D127" s="170"/>
      <c r="E127" s="170"/>
      <c r="F127" s="170"/>
      <c r="G127" s="170"/>
      <c r="H127" s="170"/>
      <c r="I127" s="170"/>
      <c r="J127" s="170"/>
      <c r="K127" s="171"/>
      <c r="L127" s="170"/>
      <c r="M127" s="170"/>
      <c r="N127" s="172"/>
      <c r="O127" s="172"/>
      <c r="P127" s="172"/>
      <c r="Q127" s="172"/>
      <c r="R127" s="172"/>
      <c r="S127" s="172"/>
    </row>
    <row r="128" spans="2:34">
      <c r="B128" s="169"/>
      <c r="C128" s="170"/>
      <c r="D128" s="170"/>
      <c r="E128" s="170"/>
      <c r="F128" s="170"/>
      <c r="G128" s="170"/>
      <c r="H128" s="170"/>
      <c r="I128" s="170"/>
      <c r="J128" s="170"/>
      <c r="K128" s="171"/>
      <c r="L128" s="170"/>
      <c r="M128" s="170"/>
      <c r="N128" s="172"/>
      <c r="O128" s="172"/>
      <c r="P128" s="172"/>
      <c r="Q128" s="172"/>
      <c r="R128" s="172"/>
      <c r="S128" s="172"/>
    </row>
    <row r="129" spans="2:19" ht="17.399999999999999">
      <c r="B129" s="172"/>
      <c r="C129" s="170"/>
      <c r="D129" s="170" t="s">
        <v>17</v>
      </c>
      <c r="E129" s="170"/>
      <c r="F129" s="170"/>
      <c r="G129" s="170"/>
      <c r="H129" s="170"/>
      <c r="I129" s="170"/>
      <c r="J129" s="170"/>
      <c r="K129" s="171"/>
      <c r="L129" s="170"/>
      <c r="M129" s="170"/>
      <c r="N129" s="172"/>
      <c r="O129" s="172"/>
      <c r="P129" s="172"/>
      <c r="Q129" s="172"/>
      <c r="R129" s="172"/>
      <c r="S129" s="172"/>
    </row>
    <row r="130" spans="2:19" ht="17.399999999999999">
      <c r="B130" s="172"/>
      <c r="C130" s="170"/>
      <c r="D130" s="170" t="s">
        <v>277</v>
      </c>
      <c r="E130" s="170"/>
      <c r="F130" s="170"/>
      <c r="G130" s="170"/>
      <c r="H130" s="170"/>
      <c r="I130" s="170"/>
      <c r="J130" s="170"/>
      <c r="K130" s="171"/>
      <c r="L130" s="170"/>
      <c r="M130" s="170"/>
      <c r="N130" s="172"/>
      <c r="O130" s="172"/>
      <c r="P130" s="172"/>
      <c r="Q130" s="172"/>
      <c r="R130" s="172"/>
      <c r="S130" s="172"/>
    </row>
    <row r="131" spans="2:19" ht="17.399999999999999">
      <c r="B131" s="172"/>
      <c r="C131" s="170"/>
      <c r="D131" s="170" t="s">
        <v>278</v>
      </c>
      <c r="E131" s="170"/>
      <c r="F131" s="170"/>
      <c r="G131" s="170"/>
      <c r="H131" s="170"/>
      <c r="I131" s="170"/>
      <c r="J131" s="170"/>
      <c r="K131" s="171"/>
      <c r="L131" s="170"/>
      <c r="M131" s="170"/>
      <c r="N131" s="172"/>
      <c r="O131" s="172"/>
      <c r="P131" s="172"/>
      <c r="Q131" s="172"/>
      <c r="R131" s="172"/>
      <c r="S131" s="172"/>
    </row>
    <row r="132" spans="2:19">
      <c r="B132" s="169"/>
      <c r="C132" s="170"/>
      <c r="D132" s="170"/>
      <c r="E132" s="170"/>
      <c r="F132" s="170"/>
      <c r="G132" s="170"/>
      <c r="H132" s="170"/>
      <c r="I132" s="170"/>
      <c r="J132" s="170"/>
      <c r="K132" s="171"/>
      <c r="L132" s="170"/>
      <c r="M132" s="170"/>
      <c r="N132" s="172"/>
      <c r="O132" s="172"/>
      <c r="P132" s="172"/>
      <c r="Q132" s="172"/>
      <c r="R132" s="172"/>
      <c r="S132" s="172"/>
    </row>
    <row r="133" spans="2:19" ht="17.399999999999999">
      <c r="B133" s="172"/>
      <c r="C133" s="170"/>
      <c r="D133" s="170" t="s">
        <v>275</v>
      </c>
      <c r="E133" s="170"/>
      <c r="F133" s="170"/>
      <c r="G133" s="170"/>
      <c r="H133" s="170"/>
      <c r="I133" s="170"/>
      <c r="J133" s="170"/>
      <c r="K133" s="171"/>
      <c r="L133" s="170"/>
      <c r="M133" s="170"/>
      <c r="N133" s="172"/>
      <c r="O133" s="172"/>
      <c r="P133" s="172"/>
      <c r="Q133" s="172"/>
      <c r="R133" s="172"/>
      <c r="S133" s="172"/>
    </row>
    <row r="134" spans="2:19" ht="17.399999999999999">
      <c r="B134" s="172"/>
      <c r="C134" s="170"/>
      <c r="D134" s="170" t="s">
        <v>16</v>
      </c>
      <c r="E134" s="170"/>
      <c r="F134" s="170"/>
      <c r="G134" s="170"/>
      <c r="H134" s="170"/>
      <c r="I134" s="170"/>
      <c r="J134" s="170"/>
      <c r="K134" s="171"/>
      <c r="L134" s="170"/>
      <c r="M134" s="170"/>
      <c r="N134" s="172"/>
      <c r="O134" s="172"/>
      <c r="P134" s="172"/>
      <c r="Q134" s="172"/>
      <c r="R134" s="172"/>
      <c r="S134" s="172"/>
    </row>
    <row r="135" spans="2:19" ht="17.399999999999999">
      <c r="B135" s="172"/>
      <c r="C135" s="170"/>
      <c r="D135" s="170" t="s">
        <v>276</v>
      </c>
      <c r="E135" s="170"/>
      <c r="F135" s="170"/>
      <c r="G135" s="170"/>
      <c r="H135" s="170"/>
      <c r="I135" s="170"/>
      <c r="J135" s="170"/>
      <c r="K135" s="171"/>
      <c r="L135" s="170"/>
      <c r="M135" s="170"/>
      <c r="N135" s="172"/>
      <c r="O135" s="172"/>
      <c r="P135" s="172"/>
      <c r="Q135" s="172"/>
      <c r="R135" s="172"/>
      <c r="S135" s="172"/>
    </row>
    <row r="136" spans="2:19">
      <c r="B136" s="169"/>
      <c r="C136" s="170"/>
      <c r="D136" s="170"/>
      <c r="E136" s="170"/>
      <c r="F136" s="170"/>
      <c r="G136" s="170"/>
      <c r="H136" s="170"/>
      <c r="I136" s="170"/>
      <c r="J136" s="170"/>
      <c r="K136" s="171"/>
      <c r="L136" s="170"/>
      <c r="M136" s="170"/>
      <c r="N136" s="172"/>
      <c r="O136" s="172"/>
      <c r="P136" s="172"/>
      <c r="Q136" s="172"/>
      <c r="R136" s="172"/>
      <c r="S136" s="172"/>
    </row>
    <row r="137" spans="2:19">
      <c r="B137" s="169"/>
      <c r="C137" s="170"/>
      <c r="D137" s="170"/>
      <c r="E137" s="170"/>
      <c r="F137" s="170"/>
      <c r="G137" s="170"/>
      <c r="H137" s="170"/>
      <c r="I137" s="170"/>
      <c r="J137" s="170"/>
      <c r="K137" s="171"/>
      <c r="L137" s="170"/>
      <c r="M137" s="170"/>
      <c r="N137" s="172"/>
      <c r="O137" s="172"/>
      <c r="P137" s="172"/>
      <c r="Q137" s="172"/>
      <c r="R137" s="172"/>
      <c r="S137" s="172"/>
    </row>
    <row r="138" spans="2:19">
      <c r="B138" s="169"/>
      <c r="C138" s="170"/>
      <c r="D138" s="170"/>
      <c r="E138" s="170"/>
      <c r="F138" s="170"/>
      <c r="G138" s="170"/>
      <c r="H138" s="170"/>
      <c r="I138" s="170"/>
      <c r="J138" s="170"/>
      <c r="K138" s="171"/>
      <c r="L138" s="170"/>
      <c r="M138" s="170"/>
      <c r="N138" s="172"/>
      <c r="O138" s="172"/>
      <c r="P138" s="172"/>
      <c r="Q138" s="172"/>
      <c r="R138" s="172"/>
      <c r="S138" s="172"/>
    </row>
    <row r="139" spans="2:19">
      <c r="B139" s="169"/>
      <c r="C139" s="170"/>
      <c r="D139" s="170"/>
      <c r="E139" s="170"/>
      <c r="F139" s="170"/>
      <c r="G139" s="170"/>
      <c r="H139" s="170"/>
      <c r="I139" s="170"/>
      <c r="J139" s="170"/>
      <c r="K139" s="171"/>
      <c r="L139" s="170"/>
      <c r="M139" s="170"/>
      <c r="N139" s="172"/>
      <c r="O139" s="172"/>
      <c r="P139" s="172"/>
      <c r="Q139" s="172"/>
      <c r="R139" s="172"/>
      <c r="S139" s="172"/>
    </row>
    <row r="140" spans="2:19">
      <c r="B140" s="169"/>
      <c r="C140" s="170"/>
      <c r="D140" s="170"/>
      <c r="E140" s="170"/>
      <c r="F140" s="170"/>
      <c r="G140" s="170"/>
      <c r="H140" s="170"/>
      <c r="I140" s="170"/>
      <c r="J140" s="170"/>
      <c r="K140" s="171"/>
      <c r="L140" s="170"/>
      <c r="M140" s="170"/>
      <c r="N140" s="172"/>
      <c r="O140" s="172"/>
      <c r="P140" s="172"/>
      <c r="Q140" s="172"/>
      <c r="R140" s="172"/>
      <c r="S140" s="172"/>
    </row>
    <row r="141" spans="2:19">
      <c r="B141" s="169"/>
      <c r="C141" s="170"/>
      <c r="D141" s="170"/>
      <c r="E141" s="170"/>
      <c r="F141" s="170"/>
      <c r="G141" s="170"/>
      <c r="H141" s="170"/>
      <c r="I141" s="170"/>
      <c r="J141" s="170"/>
      <c r="K141" s="171"/>
      <c r="L141" s="170"/>
      <c r="M141" s="170"/>
      <c r="N141" s="172"/>
      <c r="O141" s="172"/>
      <c r="P141" s="172"/>
      <c r="Q141" s="172"/>
      <c r="R141" s="172"/>
      <c r="S141" s="172"/>
    </row>
    <row r="142" spans="2:19">
      <c r="B142" s="169"/>
      <c r="C142" s="170"/>
      <c r="D142" s="170"/>
      <c r="E142" s="170"/>
      <c r="F142" s="170"/>
      <c r="G142" s="170"/>
      <c r="H142" s="170"/>
      <c r="I142" s="170"/>
      <c r="J142" s="170"/>
      <c r="K142" s="171"/>
      <c r="L142" s="170"/>
      <c r="M142" s="170"/>
      <c r="N142" s="172"/>
      <c r="O142" s="172"/>
      <c r="P142" s="172"/>
      <c r="Q142" s="172"/>
      <c r="R142" s="172"/>
      <c r="S142" s="172"/>
    </row>
    <row r="143" spans="2:19">
      <c r="B143" s="169"/>
      <c r="C143" s="170"/>
      <c r="D143" s="170"/>
      <c r="E143" s="170"/>
      <c r="F143" s="170"/>
      <c r="G143" s="170"/>
      <c r="H143" s="170"/>
      <c r="I143" s="170"/>
      <c r="J143" s="170"/>
      <c r="K143" s="171"/>
      <c r="L143" s="170"/>
      <c r="M143" s="170"/>
      <c r="N143" s="172"/>
      <c r="O143" s="172"/>
      <c r="P143" s="172"/>
      <c r="Q143" s="172"/>
      <c r="R143" s="172"/>
      <c r="S143" s="172"/>
    </row>
    <row r="144" spans="2:19">
      <c r="B144" s="169"/>
      <c r="C144" s="170"/>
      <c r="D144" s="170"/>
      <c r="E144" s="170"/>
      <c r="F144" s="170"/>
      <c r="G144" s="170"/>
      <c r="H144" s="170"/>
      <c r="I144" s="170"/>
      <c r="J144" s="170"/>
      <c r="K144" s="171"/>
      <c r="L144" s="170"/>
      <c r="M144" s="170"/>
      <c r="N144" s="172"/>
      <c r="O144" s="172"/>
      <c r="P144" s="172"/>
      <c r="Q144" s="172"/>
      <c r="R144" s="172"/>
      <c r="S144" s="172"/>
    </row>
    <row r="145" spans="2:19">
      <c r="B145" s="169"/>
      <c r="C145" s="170"/>
      <c r="D145" s="170"/>
      <c r="E145" s="170"/>
      <c r="F145" s="170"/>
      <c r="G145" s="170"/>
      <c r="H145" s="170"/>
      <c r="I145" s="170"/>
      <c r="J145" s="170"/>
      <c r="K145" s="171"/>
      <c r="L145" s="170"/>
      <c r="M145" s="170"/>
      <c r="N145" s="172"/>
      <c r="O145" s="172"/>
      <c r="P145" s="172"/>
      <c r="Q145" s="172"/>
      <c r="R145" s="172"/>
      <c r="S145" s="172"/>
    </row>
    <row r="146" spans="2:19">
      <c r="B146" s="169"/>
      <c r="C146" s="170"/>
      <c r="D146" s="170"/>
      <c r="E146" s="170"/>
      <c r="F146" s="170"/>
      <c r="G146" s="170"/>
      <c r="H146" s="170"/>
      <c r="I146" s="170"/>
      <c r="J146" s="170"/>
      <c r="K146" s="171"/>
      <c r="L146" s="170"/>
      <c r="M146" s="170"/>
      <c r="N146" s="172"/>
      <c r="O146" s="172"/>
      <c r="P146" s="172"/>
      <c r="Q146" s="172"/>
      <c r="R146" s="172"/>
      <c r="S146" s="172"/>
    </row>
    <row r="147" spans="2:19">
      <c r="B147" s="169"/>
      <c r="C147" s="170"/>
      <c r="D147" s="170"/>
      <c r="E147" s="170"/>
      <c r="F147" s="170"/>
      <c r="G147" s="170"/>
      <c r="H147" s="170"/>
      <c r="I147" s="170"/>
      <c r="J147" s="170"/>
      <c r="K147" s="171"/>
      <c r="L147" s="170"/>
      <c r="M147" s="170"/>
      <c r="N147" s="172"/>
      <c r="O147" s="172"/>
      <c r="P147" s="172"/>
      <c r="Q147" s="172"/>
      <c r="R147" s="172"/>
      <c r="S147" s="172"/>
    </row>
    <row r="148" spans="2:19">
      <c r="B148" s="169"/>
      <c r="C148" s="170"/>
      <c r="D148" s="170"/>
      <c r="E148" s="170"/>
      <c r="F148" s="170"/>
      <c r="G148" s="170"/>
      <c r="H148" s="170"/>
      <c r="I148" s="170"/>
      <c r="J148" s="170"/>
      <c r="K148" s="171"/>
      <c r="L148" s="170"/>
      <c r="M148" s="170"/>
      <c r="N148" s="172"/>
      <c r="O148" s="172"/>
      <c r="P148" s="172"/>
      <c r="Q148" s="172"/>
      <c r="R148" s="172"/>
      <c r="S148" s="172"/>
    </row>
    <row r="149" spans="2:19">
      <c r="B149" s="169"/>
      <c r="C149" s="170"/>
      <c r="D149" s="170"/>
      <c r="E149" s="170"/>
      <c r="F149" s="170"/>
      <c r="G149" s="170"/>
      <c r="H149" s="170"/>
      <c r="I149" s="170"/>
      <c r="J149" s="170"/>
      <c r="K149" s="171"/>
      <c r="L149" s="170"/>
      <c r="M149" s="170"/>
      <c r="N149" s="172"/>
      <c r="O149" s="172"/>
      <c r="P149" s="172"/>
      <c r="Q149" s="172"/>
      <c r="R149" s="172"/>
      <c r="S149" s="172"/>
    </row>
    <row r="150" spans="2:19">
      <c r="B150" s="169"/>
      <c r="C150" s="170"/>
      <c r="D150" s="170"/>
      <c r="E150" s="170"/>
      <c r="F150" s="170"/>
      <c r="G150" s="170"/>
      <c r="H150" s="170"/>
      <c r="I150" s="170"/>
      <c r="J150" s="170"/>
      <c r="K150" s="171"/>
      <c r="L150" s="170"/>
      <c r="M150" s="170"/>
      <c r="N150" s="172"/>
      <c r="O150" s="172"/>
      <c r="P150" s="172"/>
      <c r="Q150" s="172"/>
      <c r="R150" s="172"/>
      <c r="S150" s="172"/>
    </row>
    <row r="151" spans="2:19">
      <c r="B151" s="169"/>
      <c r="C151" s="170"/>
      <c r="D151" s="170"/>
      <c r="E151" s="170"/>
      <c r="F151" s="170"/>
      <c r="G151" s="170"/>
      <c r="H151" s="170"/>
      <c r="I151" s="170"/>
      <c r="J151" s="170"/>
      <c r="K151" s="171"/>
      <c r="L151" s="170"/>
      <c r="M151" s="170"/>
      <c r="N151" s="172"/>
      <c r="O151" s="172"/>
      <c r="P151" s="172"/>
      <c r="Q151" s="172"/>
      <c r="R151" s="172"/>
      <c r="S151" s="172"/>
    </row>
    <row r="152" spans="2:19">
      <c r="B152" s="169"/>
      <c r="C152" s="170"/>
      <c r="D152" s="170"/>
      <c r="E152" s="170"/>
      <c r="F152" s="170"/>
      <c r="G152" s="170"/>
      <c r="H152" s="170"/>
      <c r="I152" s="170"/>
      <c r="J152" s="170"/>
      <c r="K152" s="171"/>
      <c r="L152" s="170"/>
      <c r="M152" s="170"/>
      <c r="N152" s="172"/>
      <c r="O152" s="172"/>
      <c r="P152" s="172"/>
      <c r="Q152" s="172"/>
      <c r="R152" s="172"/>
      <c r="S152" s="172"/>
    </row>
    <row r="153" spans="2:19">
      <c r="B153" s="169"/>
      <c r="C153" s="170"/>
      <c r="D153" s="170"/>
      <c r="E153" s="170"/>
      <c r="F153" s="170"/>
      <c r="G153" s="170"/>
      <c r="H153" s="170"/>
      <c r="I153" s="170"/>
      <c r="J153" s="170"/>
      <c r="K153" s="171"/>
      <c r="L153" s="170"/>
      <c r="M153" s="170"/>
      <c r="N153" s="172"/>
      <c r="O153" s="172"/>
      <c r="P153" s="172"/>
      <c r="Q153" s="172"/>
      <c r="R153" s="172"/>
      <c r="S153" s="172"/>
    </row>
    <row r="154" spans="2:19">
      <c r="B154" s="169"/>
      <c r="C154" s="170"/>
      <c r="D154" s="170"/>
      <c r="E154" s="170"/>
      <c r="F154" s="170"/>
      <c r="G154" s="170"/>
      <c r="H154" s="170"/>
      <c r="I154" s="170"/>
      <c r="J154" s="170"/>
      <c r="K154" s="171"/>
      <c r="L154" s="170"/>
      <c r="M154" s="170"/>
      <c r="N154" s="172"/>
      <c r="O154" s="172"/>
      <c r="P154" s="172"/>
      <c r="Q154" s="172"/>
      <c r="R154" s="172"/>
      <c r="S154" s="172"/>
    </row>
    <row r="155" spans="2:19">
      <c r="B155" s="169"/>
      <c r="C155" s="170"/>
      <c r="D155" s="170"/>
      <c r="E155" s="170"/>
      <c r="F155" s="170"/>
      <c r="G155" s="170"/>
      <c r="H155" s="170"/>
      <c r="I155" s="170"/>
      <c r="J155" s="170"/>
      <c r="K155" s="171"/>
      <c r="L155" s="170"/>
      <c r="M155" s="170"/>
      <c r="N155" s="172"/>
      <c r="O155" s="172"/>
      <c r="P155" s="172"/>
      <c r="Q155" s="172"/>
      <c r="R155" s="172"/>
      <c r="S155" s="172"/>
    </row>
    <row r="156" spans="2:19">
      <c r="B156" s="169"/>
      <c r="C156" s="170"/>
      <c r="D156" s="170"/>
      <c r="E156" s="170"/>
      <c r="F156" s="170"/>
      <c r="G156" s="170"/>
      <c r="H156" s="170"/>
      <c r="I156" s="170"/>
      <c r="J156" s="170"/>
      <c r="K156" s="171"/>
      <c r="L156" s="170"/>
      <c r="M156" s="170"/>
      <c r="N156" s="172"/>
      <c r="O156" s="172"/>
      <c r="P156" s="172"/>
      <c r="Q156" s="172"/>
      <c r="R156" s="172"/>
      <c r="S156" s="172"/>
    </row>
  </sheetData>
  <mergeCells count="65">
    <mergeCell ref="J29:K29"/>
    <mergeCell ref="J62:K62"/>
    <mergeCell ref="E18:I18"/>
    <mergeCell ref="D18:D19"/>
    <mergeCell ref="C18:C19"/>
    <mergeCell ref="J18:K19"/>
    <mergeCell ref="J20:K20"/>
    <mergeCell ref="J21:K21"/>
    <mergeCell ref="J22:K22"/>
    <mergeCell ref="C51:C52"/>
    <mergeCell ref="D51:D52"/>
    <mergeCell ref="J51:K52"/>
    <mergeCell ref="J46:K46"/>
    <mergeCell ref="J47:K47"/>
    <mergeCell ref="J48:K48"/>
    <mergeCell ref="C55:C56"/>
    <mergeCell ref="J23:K23"/>
    <mergeCell ref="J24:K24"/>
    <mergeCell ref="J25:K25"/>
    <mergeCell ref="J27:K27"/>
    <mergeCell ref="J28:K28"/>
    <mergeCell ref="J37:K37"/>
    <mergeCell ref="J38:K38"/>
    <mergeCell ref="J39:K39"/>
    <mergeCell ref="J40:K40"/>
    <mergeCell ref="J30:K30"/>
    <mergeCell ref="J10:K11"/>
    <mergeCell ref="J12:K12"/>
    <mergeCell ref="J14:K14"/>
    <mergeCell ref="J13:K13"/>
    <mergeCell ref="J15:K15"/>
    <mergeCell ref="D5:I5"/>
    <mergeCell ref="D6:I6"/>
    <mergeCell ref="E10:I10"/>
    <mergeCell ref="C10:C11"/>
    <mergeCell ref="D10:D11"/>
    <mergeCell ref="C59:C60"/>
    <mergeCell ref="E52:I52"/>
    <mergeCell ref="E54:I54"/>
    <mergeCell ref="E56:I56"/>
    <mergeCell ref="E58:I58"/>
    <mergeCell ref="E60:I60"/>
    <mergeCell ref="C53:C54"/>
    <mergeCell ref="C57:C58"/>
    <mergeCell ref="J55:K56"/>
    <mergeCell ref="J57:K58"/>
    <mergeCell ref="J59:K60"/>
    <mergeCell ref="J26:K26"/>
    <mergeCell ref="J44:K44"/>
    <mergeCell ref="J45:K45"/>
    <mergeCell ref="J31:K31"/>
    <mergeCell ref="J32:K32"/>
    <mergeCell ref="J33:K33"/>
    <mergeCell ref="J34:K34"/>
    <mergeCell ref="J35:K35"/>
    <mergeCell ref="J53:K54"/>
    <mergeCell ref="J41:K41"/>
    <mergeCell ref="J42:K42"/>
    <mergeCell ref="J43:K43"/>
    <mergeCell ref="J36:K36"/>
    <mergeCell ref="H51:I51"/>
    <mergeCell ref="H53:I53"/>
    <mergeCell ref="H55:I55"/>
    <mergeCell ref="H57:I57"/>
    <mergeCell ref="H59:I59"/>
  </mergeCells>
  <phoneticPr fontId="8"/>
  <dataValidations count="2">
    <dataValidation type="list" allowBlank="1" showInputMessage="1" showErrorMessage="1" sqref="J14:K14" xr:uid="{00000000-0002-0000-0000-000000000000}">
      <formula1>アーカイブ利用有無</formula1>
    </dataValidation>
    <dataValidation type="list" allowBlank="1" showInputMessage="1" showErrorMessage="1" sqref="E54:I54 E60:I60 E58:I58 E56:I56" xr:uid="{00000000-0002-0000-0000-000001000000}">
      <formula1>入力値単位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74"/>
  <sheetViews>
    <sheetView showGridLines="0" zoomScaleNormal="100" workbookViewId="0"/>
  </sheetViews>
  <sheetFormatPr defaultColWidth="9" defaultRowHeight="14.25" customHeight="1"/>
  <cols>
    <col min="1" max="2" width="3.21875" customWidth="1"/>
    <col min="3" max="3" width="33.88671875" customWidth="1"/>
    <col min="4" max="4" width="10.77734375" customWidth="1"/>
    <col min="5" max="6" width="4.88671875" customWidth="1"/>
    <col min="7" max="7" width="5.6640625" customWidth="1"/>
    <col min="8" max="8" width="2.109375" style="113" customWidth="1"/>
    <col min="9" max="9" width="4" style="113" customWidth="1"/>
    <col min="10" max="10" width="26.109375" style="113" customWidth="1"/>
    <col min="11" max="11" width="11.88671875" style="113" customWidth="1"/>
    <col min="12" max="12" width="11.21875" style="113" customWidth="1"/>
    <col min="13" max="14" width="15.6640625" style="113" customWidth="1"/>
    <col min="15" max="15" width="13.6640625" style="113" customWidth="1"/>
    <col min="16" max="35" width="12.6640625" style="113" customWidth="1"/>
    <col min="36" max="36" width="4" style="65" customWidth="1"/>
    <col min="37" max="37" width="12.6640625" style="113" customWidth="1"/>
    <col min="38" max="16384" width="9" style="113"/>
  </cols>
  <sheetData>
    <row r="1" spans="2:37" ht="20.25" customHeight="1" thickBot="1"/>
    <row r="2" spans="2:37" ht="33.75" customHeight="1">
      <c r="B2" s="1"/>
      <c r="C2" s="156" t="str">
        <f>T('NXグループ経営管理(DBサーバ)'!C2)</f>
        <v>SuperStream-NX グループ経営管理2026-06-01版 (Ver.2.9.0)</v>
      </c>
      <c r="D2" s="2"/>
      <c r="E2" s="3"/>
      <c r="F2" s="3"/>
      <c r="G2" s="3"/>
      <c r="H2" s="158"/>
      <c r="I2" s="158"/>
      <c r="J2" s="158"/>
      <c r="K2" s="159"/>
    </row>
    <row r="3" spans="2:37" ht="29.25" customHeight="1" thickBot="1">
      <c r="B3" s="4"/>
      <c r="C3" s="157" t="s">
        <v>413</v>
      </c>
      <c r="D3" s="113"/>
      <c r="E3" s="5"/>
      <c r="F3" s="5"/>
      <c r="G3" s="5"/>
      <c r="K3" s="160"/>
    </row>
    <row r="4" spans="2:37" ht="20.25" customHeight="1" thickBot="1">
      <c r="B4" s="4"/>
      <c r="C4" s="120" t="s">
        <v>262</v>
      </c>
      <c r="D4" s="167">
        <f>ROUNDUP(O58/1024,2)*3 +(ROUNDUP(O58/1024,2))*0.2+(ROUNDUP(O25/1024,2))</f>
        <v>112.35400000000001</v>
      </c>
      <c r="E4" s="121" t="s">
        <v>0</v>
      </c>
      <c r="F4" s="111"/>
      <c r="G4" s="5"/>
      <c r="K4" s="160"/>
    </row>
    <row r="5" spans="2:37" ht="14.25" customHeight="1">
      <c r="B5" s="4"/>
      <c r="C5" s="145" t="s">
        <v>379</v>
      </c>
      <c r="D5" s="108"/>
      <c r="E5" s="5"/>
      <c r="F5" s="5"/>
      <c r="G5" s="5"/>
      <c r="K5" s="160"/>
    </row>
    <row r="6" spans="2:37" ht="14.25" customHeight="1">
      <c r="B6" s="7"/>
      <c r="C6" s="93" t="s">
        <v>231</v>
      </c>
      <c r="D6" s="67"/>
      <c r="K6" s="160"/>
    </row>
    <row r="7" spans="2:37" ht="14.25" customHeight="1">
      <c r="B7" s="7"/>
      <c r="C7" s="92" t="s">
        <v>253</v>
      </c>
      <c r="D7" s="161">
        <v>1</v>
      </c>
      <c r="E7" s="67"/>
      <c r="F7" s="67"/>
      <c r="G7" s="112"/>
      <c r="K7" s="160"/>
    </row>
    <row r="8" spans="2:37" ht="14.25" customHeight="1">
      <c r="B8" s="7"/>
      <c r="G8" s="112"/>
      <c r="K8" s="160"/>
    </row>
    <row r="9" spans="2:37" ht="14.25" customHeight="1">
      <c r="B9" s="7"/>
      <c r="C9" s="93" t="s">
        <v>216</v>
      </c>
      <c r="D9" s="67"/>
      <c r="E9" s="67"/>
      <c r="F9" s="67"/>
      <c r="G9" s="112"/>
      <c r="K9" s="160"/>
    </row>
    <row r="10" spans="2:37" ht="14.25" customHeight="1">
      <c r="B10" s="7"/>
      <c r="C10" s="92" t="s">
        <v>254</v>
      </c>
      <c r="D10" s="147">
        <v>3</v>
      </c>
      <c r="E10" s="67" t="s">
        <v>212</v>
      </c>
      <c r="F10" s="67"/>
      <c r="G10" s="112"/>
      <c r="K10" s="160"/>
    </row>
    <row r="11" spans="2:37" ht="14.25" customHeight="1" thickBot="1">
      <c r="B11" s="8"/>
      <c r="C11" s="9"/>
      <c r="D11" s="9"/>
      <c r="E11" s="91"/>
      <c r="F11" s="91"/>
      <c r="G11" s="9"/>
      <c r="H11" s="162"/>
      <c r="I11" s="162"/>
      <c r="J11" s="162"/>
      <c r="K11" s="163"/>
    </row>
    <row r="12" spans="2:37" ht="18.75" customHeight="1">
      <c r="I12" s="70"/>
    </row>
    <row r="13" spans="2:37" ht="30" customHeight="1">
      <c r="B13" s="113"/>
      <c r="C13" s="113"/>
      <c r="D13" s="113"/>
      <c r="E13" s="113"/>
      <c r="F13" s="113"/>
      <c r="G13" s="113"/>
      <c r="I13" s="94" t="s">
        <v>217</v>
      </c>
      <c r="O13" s="90" t="s">
        <v>240</v>
      </c>
      <c r="P13" s="110"/>
    </row>
    <row r="14" spans="2:37" ht="28.5" customHeight="1">
      <c r="B14" s="113"/>
      <c r="C14" s="113"/>
      <c r="D14" s="113"/>
      <c r="E14" s="113"/>
      <c r="F14" s="113"/>
      <c r="G14" s="113"/>
      <c r="I14" s="87" t="s">
        <v>211</v>
      </c>
      <c r="J14" s="117" t="s">
        <v>183</v>
      </c>
      <c r="K14" s="88" t="s">
        <v>184</v>
      </c>
      <c r="L14" s="87" t="s">
        <v>181</v>
      </c>
      <c r="M14" s="89" t="s">
        <v>250</v>
      </c>
      <c r="N14" s="86" t="s">
        <v>251</v>
      </c>
      <c r="O14" s="89" t="s">
        <v>252</v>
      </c>
      <c r="P14" s="122" t="s">
        <v>279</v>
      </c>
      <c r="Q14" s="122" t="s">
        <v>342</v>
      </c>
      <c r="R14" s="122" t="s">
        <v>311</v>
      </c>
      <c r="S14" s="122" t="s">
        <v>312</v>
      </c>
      <c r="T14" s="122" t="s">
        <v>313</v>
      </c>
      <c r="U14" s="122" t="s">
        <v>314</v>
      </c>
      <c r="V14" s="122" t="s">
        <v>315</v>
      </c>
      <c r="W14" s="122" t="s">
        <v>316</v>
      </c>
      <c r="X14" s="122" t="s">
        <v>317</v>
      </c>
      <c r="Y14" s="122" t="s">
        <v>318</v>
      </c>
      <c r="Z14" s="122" t="s">
        <v>319</v>
      </c>
      <c r="AA14" s="122" t="s">
        <v>320</v>
      </c>
      <c r="AB14" s="122" t="s">
        <v>321</v>
      </c>
      <c r="AC14" s="122" t="s">
        <v>322</v>
      </c>
      <c r="AD14" s="122" t="s">
        <v>323</v>
      </c>
      <c r="AE14" s="122" t="s">
        <v>324</v>
      </c>
      <c r="AF14" s="122" t="s">
        <v>325</v>
      </c>
      <c r="AG14" s="122" t="s">
        <v>326</v>
      </c>
      <c r="AH14" s="122" t="s">
        <v>327</v>
      </c>
      <c r="AI14" s="122" t="s">
        <v>328</v>
      </c>
      <c r="AK14" s="143" t="s">
        <v>335</v>
      </c>
    </row>
    <row r="15" spans="2:37" ht="14.25" customHeight="1">
      <c r="B15" s="113"/>
      <c r="C15" s="113"/>
      <c r="D15" s="113"/>
      <c r="E15" s="113"/>
      <c r="F15" s="113"/>
      <c r="G15" s="113"/>
      <c r="I15" s="64">
        <v>1</v>
      </c>
      <c r="J15" s="109" t="s">
        <v>218</v>
      </c>
      <c r="K15" s="133" t="s">
        <v>222</v>
      </c>
      <c r="L15" s="72" t="s">
        <v>226</v>
      </c>
      <c r="M15" s="71">
        <v>1E-4</v>
      </c>
      <c r="N15" s="78">
        <v>2.0000000000000001E-4</v>
      </c>
      <c r="O15" s="66">
        <f t="shared" ref="O15:O24" si="0">(M15+N15)*(SUM(P15:AI15))</f>
        <v>0.45000000000000007</v>
      </c>
      <c r="P15" s="132">
        <f>'NXグループ経営管理(DBサーバ)'!L22</f>
        <v>300</v>
      </c>
      <c r="Q15" s="132">
        <f>'NXグループ経営管理(DBサーバ)'!M22</f>
        <v>300</v>
      </c>
      <c r="R15" s="132">
        <f>'NXグループ経営管理(DBサーバ)'!N22</f>
        <v>300</v>
      </c>
      <c r="S15" s="132">
        <f>'NXグループ経営管理(DBサーバ)'!O22</f>
        <v>300</v>
      </c>
      <c r="T15" s="132">
        <f>'NXグループ経営管理(DBサーバ)'!P22</f>
        <v>300</v>
      </c>
      <c r="U15" s="132">
        <f>'NXグループ経営管理(DBサーバ)'!Q22</f>
        <v>0</v>
      </c>
      <c r="V15" s="132">
        <f>'NXグループ経営管理(DBサーバ)'!R22</f>
        <v>0</v>
      </c>
      <c r="W15" s="132">
        <f>'NXグループ経営管理(DBサーバ)'!S22</f>
        <v>0</v>
      </c>
      <c r="X15" s="132">
        <f>'NXグループ経営管理(DBサーバ)'!T22</f>
        <v>0</v>
      </c>
      <c r="Y15" s="132">
        <f>'NXグループ経営管理(DBサーバ)'!U22</f>
        <v>0</v>
      </c>
      <c r="Z15" s="132">
        <f>'NXグループ経営管理(DBサーバ)'!V22</f>
        <v>0</v>
      </c>
      <c r="AA15" s="132">
        <f>'NXグループ経営管理(DBサーバ)'!W22</f>
        <v>0</v>
      </c>
      <c r="AB15" s="132">
        <f>'NXグループ経営管理(DBサーバ)'!X22</f>
        <v>0</v>
      </c>
      <c r="AC15" s="132">
        <f>'NXグループ経営管理(DBサーバ)'!Y22</f>
        <v>0</v>
      </c>
      <c r="AD15" s="132">
        <f>'NXグループ経営管理(DBサーバ)'!Z22</f>
        <v>0</v>
      </c>
      <c r="AE15" s="132">
        <f>'NXグループ経営管理(DBサーバ)'!AA22</f>
        <v>0</v>
      </c>
      <c r="AF15" s="132">
        <f>'NXグループ経営管理(DBサーバ)'!AB22</f>
        <v>0</v>
      </c>
      <c r="AG15" s="132">
        <f>'NXグループ経営管理(DBサーバ)'!AC22</f>
        <v>0</v>
      </c>
      <c r="AH15" s="132">
        <f>'NXグループ経営管理(DBサーバ)'!AD22</f>
        <v>0</v>
      </c>
      <c r="AI15" s="132">
        <f>'NXグループ経営管理(DBサーバ)'!AE22</f>
        <v>0</v>
      </c>
      <c r="AJ15" s="83" t="s">
        <v>228</v>
      </c>
      <c r="AK15" s="64">
        <f>SUM(P15:AI15)</f>
        <v>1500</v>
      </c>
    </row>
    <row r="16" spans="2:37" ht="14.25" customHeight="1">
      <c r="B16" s="113"/>
      <c r="C16" s="113"/>
      <c r="D16" s="113"/>
      <c r="E16" s="113"/>
      <c r="F16" s="113"/>
      <c r="G16" s="113"/>
      <c r="I16" s="64">
        <v>2</v>
      </c>
      <c r="J16" s="109" t="s">
        <v>219</v>
      </c>
      <c r="K16" s="133" t="s">
        <v>223</v>
      </c>
      <c r="L16" s="72" t="s">
        <v>226</v>
      </c>
      <c r="M16" s="71">
        <v>2.9999999999999997E-4</v>
      </c>
      <c r="N16" s="78">
        <v>2.0000000000000001E-4</v>
      </c>
      <c r="O16" s="66">
        <f t="shared" si="0"/>
        <v>7200</v>
      </c>
      <c r="P16" s="132">
        <f>'NXグループ経営管理(DBサーバ)'!L55*('NXグループ経営管理(DBサーバ)'!$J$13+'NXグループ経営管理(DBサーバ)'!$J$15)</f>
        <v>2880000</v>
      </c>
      <c r="Q16" s="132">
        <f>'NXグループ経営管理(DBサーバ)'!M55*('NXグループ経営管理(DBサーバ)'!$J$13+'NXグループ経営管理(DBサーバ)'!$J$15)</f>
        <v>2880000</v>
      </c>
      <c r="R16" s="132">
        <f>'NXグループ経営管理(DBサーバ)'!N55*('NXグループ経営管理(DBサーバ)'!$J$13+'NXグループ経営管理(DBサーバ)'!$J$15)</f>
        <v>2880000</v>
      </c>
      <c r="S16" s="132">
        <f>'NXグループ経営管理(DBサーバ)'!O55*('NXグループ経営管理(DBサーバ)'!$J$13+'NXグループ経営管理(DBサーバ)'!$J$15)</f>
        <v>2880000</v>
      </c>
      <c r="T16" s="132">
        <f>'NXグループ経営管理(DBサーバ)'!P55*('NXグループ経営管理(DBサーバ)'!$J$13+'NXグループ経営管理(DBサーバ)'!$J$15)</f>
        <v>2880000</v>
      </c>
      <c r="U16" s="132">
        <f>'NXグループ経営管理(DBサーバ)'!Q55*('NXグループ経営管理(DBサーバ)'!$J$13+'NXグループ経営管理(DBサーバ)'!$J$15)</f>
        <v>0</v>
      </c>
      <c r="V16" s="132">
        <f>'NXグループ経営管理(DBサーバ)'!R55*('NXグループ経営管理(DBサーバ)'!$J$13+'NXグループ経営管理(DBサーバ)'!$J$15)</f>
        <v>0</v>
      </c>
      <c r="W16" s="132">
        <f>'NXグループ経営管理(DBサーバ)'!S55*('NXグループ経営管理(DBサーバ)'!$J$13+'NXグループ経営管理(DBサーバ)'!$J$15)</f>
        <v>0</v>
      </c>
      <c r="X16" s="132">
        <f>'NXグループ経営管理(DBサーバ)'!T55*('NXグループ経営管理(DBサーバ)'!$J$13+'NXグループ経営管理(DBサーバ)'!$J$15)</f>
        <v>0</v>
      </c>
      <c r="Y16" s="132">
        <f>'NXグループ経営管理(DBサーバ)'!U55*('NXグループ経営管理(DBサーバ)'!$J$13+'NXグループ経営管理(DBサーバ)'!$J$15)</f>
        <v>0</v>
      </c>
      <c r="Z16" s="132">
        <f>'NXグループ経営管理(DBサーバ)'!V55*('NXグループ経営管理(DBサーバ)'!$J$13+'NXグループ経営管理(DBサーバ)'!$J$15)</f>
        <v>0</v>
      </c>
      <c r="AA16" s="132">
        <f>'NXグループ経営管理(DBサーバ)'!W55*('NXグループ経営管理(DBサーバ)'!$J$13+'NXグループ経営管理(DBサーバ)'!$J$15)</f>
        <v>0</v>
      </c>
      <c r="AB16" s="132">
        <f>'NXグループ経営管理(DBサーバ)'!X55*('NXグループ経営管理(DBサーバ)'!$J$13+'NXグループ経営管理(DBサーバ)'!$J$15)</f>
        <v>0</v>
      </c>
      <c r="AC16" s="132">
        <f>'NXグループ経営管理(DBサーバ)'!Y55*('NXグループ経営管理(DBサーバ)'!$J$13+'NXグループ経営管理(DBサーバ)'!$J$15)</f>
        <v>0</v>
      </c>
      <c r="AD16" s="132">
        <f>'NXグループ経営管理(DBサーバ)'!Z55*('NXグループ経営管理(DBサーバ)'!$J$13+'NXグループ経営管理(DBサーバ)'!$J$15)</f>
        <v>0</v>
      </c>
      <c r="AE16" s="132">
        <f>'NXグループ経営管理(DBサーバ)'!AA55*('NXグループ経営管理(DBサーバ)'!$J$13+'NXグループ経営管理(DBサーバ)'!$J$15)</f>
        <v>0</v>
      </c>
      <c r="AF16" s="132">
        <f>'NXグループ経営管理(DBサーバ)'!AB55*('NXグループ経営管理(DBサーバ)'!$J$13+'NXグループ経営管理(DBサーバ)'!$J$15)</f>
        <v>0</v>
      </c>
      <c r="AG16" s="132">
        <f>'NXグループ経営管理(DBサーバ)'!AC55*('NXグループ経営管理(DBサーバ)'!$J$13+'NXグループ経営管理(DBサーバ)'!$J$15)</f>
        <v>0</v>
      </c>
      <c r="AH16" s="132">
        <f>'NXグループ経営管理(DBサーバ)'!AD55*('NXグループ経営管理(DBサーバ)'!$J$13+'NXグループ経営管理(DBサーバ)'!$J$15)</f>
        <v>0</v>
      </c>
      <c r="AI16" s="132">
        <f>'NXグループ経営管理(DBサーバ)'!AE55*('NXグループ経営管理(DBサーバ)'!$J$13+'NXグループ経営管理(DBサーバ)'!$J$15)</f>
        <v>0</v>
      </c>
      <c r="AJ16" s="83" t="s">
        <v>229</v>
      </c>
      <c r="AK16" s="64">
        <f t="shared" ref="AK16:AK22" si="1">SUM(P16:AI16)</f>
        <v>14400000</v>
      </c>
    </row>
    <row r="17" spans="1:39" ht="14.25" customHeight="1">
      <c r="B17" s="113"/>
      <c r="C17" s="113"/>
      <c r="D17" s="113"/>
      <c r="E17" s="113"/>
      <c r="F17" s="113"/>
      <c r="G17" s="113"/>
      <c r="I17" s="64">
        <v>3</v>
      </c>
      <c r="J17" s="109" t="s">
        <v>235</v>
      </c>
      <c r="K17" s="133" t="s">
        <v>238</v>
      </c>
      <c r="L17" s="72" t="s">
        <v>226</v>
      </c>
      <c r="M17" s="71">
        <v>1E-4</v>
      </c>
      <c r="N17" s="71">
        <v>1E-4</v>
      </c>
      <c r="O17" s="66">
        <f t="shared" si="0"/>
        <v>2880</v>
      </c>
      <c r="P17" s="132">
        <f>'NXグループ経営管理(DBサーバ)'!L55*('NXグループ経営管理(DBサーバ)'!$J$13+'NXグループ経営管理(DBサーバ)'!$J$15)</f>
        <v>2880000</v>
      </c>
      <c r="Q17" s="132">
        <f>'NXグループ経営管理(DBサーバ)'!M55*('NXグループ経営管理(DBサーバ)'!$J$13+'NXグループ経営管理(DBサーバ)'!$J$15)</f>
        <v>2880000</v>
      </c>
      <c r="R17" s="132">
        <f>'NXグループ経営管理(DBサーバ)'!N55*('NXグループ経営管理(DBサーバ)'!$J$13+'NXグループ経営管理(DBサーバ)'!$J$15)</f>
        <v>2880000</v>
      </c>
      <c r="S17" s="132">
        <f>'NXグループ経営管理(DBサーバ)'!O55*('NXグループ経営管理(DBサーバ)'!$J$13+'NXグループ経営管理(DBサーバ)'!$J$15)</f>
        <v>2880000</v>
      </c>
      <c r="T17" s="132">
        <f>'NXグループ経営管理(DBサーバ)'!P55*('NXグループ経営管理(DBサーバ)'!$J$13+'NXグループ経営管理(DBサーバ)'!$J$15)</f>
        <v>2880000</v>
      </c>
      <c r="U17" s="132">
        <f>'NXグループ経営管理(DBサーバ)'!Q55*('NXグループ経営管理(DBサーバ)'!$J$13+'NXグループ経営管理(DBサーバ)'!$J$15)</f>
        <v>0</v>
      </c>
      <c r="V17" s="132">
        <f>'NXグループ経営管理(DBサーバ)'!R55*('NXグループ経営管理(DBサーバ)'!$J$13+'NXグループ経営管理(DBサーバ)'!$J$15)</f>
        <v>0</v>
      </c>
      <c r="W17" s="132">
        <f>'NXグループ経営管理(DBサーバ)'!S55*('NXグループ経営管理(DBサーバ)'!$J$13+'NXグループ経営管理(DBサーバ)'!$J$15)</f>
        <v>0</v>
      </c>
      <c r="X17" s="132">
        <f>'NXグループ経営管理(DBサーバ)'!T55*('NXグループ経営管理(DBサーバ)'!$J$13+'NXグループ経営管理(DBサーバ)'!$J$15)</f>
        <v>0</v>
      </c>
      <c r="Y17" s="132">
        <f>'NXグループ経営管理(DBサーバ)'!U55*('NXグループ経営管理(DBサーバ)'!$J$13+'NXグループ経営管理(DBサーバ)'!$J$15)</f>
        <v>0</v>
      </c>
      <c r="Z17" s="132">
        <f>'NXグループ経営管理(DBサーバ)'!V55*('NXグループ経営管理(DBサーバ)'!$J$13+'NXグループ経営管理(DBサーバ)'!$J$15)</f>
        <v>0</v>
      </c>
      <c r="AA17" s="132">
        <f>'NXグループ経営管理(DBサーバ)'!W55*('NXグループ経営管理(DBサーバ)'!$J$13+'NXグループ経営管理(DBサーバ)'!$J$15)</f>
        <v>0</v>
      </c>
      <c r="AB17" s="132">
        <f>'NXグループ経営管理(DBサーバ)'!X55*('NXグループ経営管理(DBサーバ)'!$J$13+'NXグループ経営管理(DBサーバ)'!$J$15)</f>
        <v>0</v>
      </c>
      <c r="AC17" s="132">
        <f>'NXグループ経営管理(DBサーバ)'!Y55*('NXグループ経営管理(DBサーバ)'!$J$13+'NXグループ経営管理(DBサーバ)'!$J$15)</f>
        <v>0</v>
      </c>
      <c r="AD17" s="132">
        <f>'NXグループ経営管理(DBサーバ)'!Z55*('NXグループ経営管理(DBサーバ)'!$J$13+'NXグループ経営管理(DBサーバ)'!$J$15)</f>
        <v>0</v>
      </c>
      <c r="AE17" s="132">
        <f>'NXグループ経営管理(DBサーバ)'!AA55*('NXグループ経営管理(DBサーバ)'!$J$13+'NXグループ経営管理(DBサーバ)'!$J$15)</f>
        <v>0</v>
      </c>
      <c r="AF17" s="132">
        <f>'NXグループ経営管理(DBサーバ)'!AB55*('NXグループ経営管理(DBサーバ)'!$J$13+'NXグループ経営管理(DBサーバ)'!$J$15)</f>
        <v>0</v>
      </c>
      <c r="AG17" s="132">
        <f>'NXグループ経営管理(DBサーバ)'!AC55*('NXグループ経営管理(DBサーバ)'!$J$13+'NXグループ経営管理(DBサーバ)'!$J$15)</f>
        <v>0</v>
      </c>
      <c r="AH17" s="132">
        <f>'NXグループ経営管理(DBサーバ)'!AD55*('NXグループ経営管理(DBサーバ)'!$J$13+'NXグループ経営管理(DBサーバ)'!$J$15)</f>
        <v>0</v>
      </c>
      <c r="AI17" s="132">
        <f>'NXグループ経営管理(DBサーバ)'!AE55*('NXグループ経営管理(DBサーバ)'!$J$13+'NXグループ経営管理(DBサーバ)'!$J$15)</f>
        <v>0</v>
      </c>
      <c r="AJ17" s="83" t="s">
        <v>243</v>
      </c>
      <c r="AK17" s="64">
        <f t="shared" si="1"/>
        <v>14400000</v>
      </c>
    </row>
    <row r="18" spans="1:39" ht="14.25" customHeight="1">
      <c r="B18" s="113"/>
      <c r="C18" s="113"/>
      <c r="D18" s="113"/>
      <c r="E18" s="113"/>
      <c r="F18" s="113"/>
      <c r="G18" s="113"/>
      <c r="I18" s="132">
        <v>4</v>
      </c>
      <c r="J18" s="135" t="s">
        <v>346</v>
      </c>
      <c r="K18" s="136" t="s">
        <v>347</v>
      </c>
      <c r="L18" s="137" t="s">
        <v>226</v>
      </c>
      <c r="M18" s="71">
        <v>1E-4</v>
      </c>
      <c r="N18" s="71">
        <v>2.0000000000000001E-4</v>
      </c>
      <c r="O18" s="139">
        <f t="shared" si="0"/>
        <v>1458.0000000000002</v>
      </c>
      <c r="P18" s="132">
        <f>('NXグループ経営管理(DBサーバ)'!L41+'NXグループ経営管理(DBサーバ)'!L44+'NXグループ経営管理(DBサーバ)'!L47)*12*('NXグループ経営管理(DBサーバ)'!$J$13+'NXグループ経営管理(DBサーバ)'!$J$15)</f>
        <v>972000</v>
      </c>
      <c r="Q18" s="132">
        <f>('NXグループ経営管理(DBサーバ)'!M41+'NXグループ経営管理(DBサーバ)'!M44+'NXグループ経営管理(DBサーバ)'!M47)*12*('NXグループ経営管理(DBサーバ)'!$J$13+'NXグループ経営管理(DBサーバ)'!$J$15)</f>
        <v>972000</v>
      </c>
      <c r="R18" s="132">
        <f>('NXグループ経営管理(DBサーバ)'!N41+'NXグループ経営管理(DBサーバ)'!N44+'NXグループ経営管理(DBサーバ)'!N47)*12*('NXグループ経営管理(DBサーバ)'!$J$13+'NXグループ経営管理(DBサーバ)'!$J$15)</f>
        <v>972000</v>
      </c>
      <c r="S18" s="132">
        <f>('NXグループ経営管理(DBサーバ)'!O41+'NXグループ経営管理(DBサーバ)'!O44+'NXグループ経営管理(DBサーバ)'!O47)*12*('NXグループ経営管理(DBサーバ)'!$J$13+'NXグループ経営管理(DBサーバ)'!$J$15)</f>
        <v>972000</v>
      </c>
      <c r="T18" s="132">
        <f>('NXグループ経営管理(DBサーバ)'!P41+'NXグループ経営管理(DBサーバ)'!P44+'NXグループ経営管理(DBサーバ)'!P47)*12*('NXグループ経営管理(DBサーバ)'!$J$13+'NXグループ経営管理(DBサーバ)'!$J$15)</f>
        <v>972000</v>
      </c>
      <c r="U18" s="132">
        <f>('NXグループ経営管理(DBサーバ)'!Q41+'NXグループ経営管理(DBサーバ)'!Q44+'NXグループ経営管理(DBサーバ)'!Q47)*12*('NXグループ経営管理(DBサーバ)'!$J$13+'NXグループ経営管理(DBサーバ)'!$J$15)</f>
        <v>0</v>
      </c>
      <c r="V18" s="132">
        <f>('NXグループ経営管理(DBサーバ)'!R41+'NXグループ経営管理(DBサーバ)'!R44+'NXグループ経営管理(DBサーバ)'!R47)*12*('NXグループ経営管理(DBサーバ)'!$J$13+'NXグループ経営管理(DBサーバ)'!$J$15)</f>
        <v>0</v>
      </c>
      <c r="W18" s="132">
        <f>('NXグループ経営管理(DBサーバ)'!S41+'NXグループ経営管理(DBサーバ)'!S44+'NXグループ経営管理(DBサーバ)'!S47)*12*('NXグループ経営管理(DBサーバ)'!$J$13+'NXグループ経営管理(DBサーバ)'!$J$15)</f>
        <v>0</v>
      </c>
      <c r="X18" s="132">
        <f>('NXグループ経営管理(DBサーバ)'!T41+'NXグループ経営管理(DBサーバ)'!T44+'NXグループ経営管理(DBサーバ)'!T47)*12*('NXグループ経営管理(DBサーバ)'!$J$13+'NXグループ経営管理(DBサーバ)'!$J$15)</f>
        <v>0</v>
      </c>
      <c r="Y18" s="132">
        <f>('NXグループ経営管理(DBサーバ)'!U41+'NXグループ経営管理(DBサーバ)'!U44+'NXグループ経営管理(DBサーバ)'!U47)*12*('NXグループ経営管理(DBサーバ)'!$J$13+'NXグループ経営管理(DBサーバ)'!$J$15)</f>
        <v>0</v>
      </c>
      <c r="Z18" s="132">
        <f>('NXグループ経営管理(DBサーバ)'!V41+'NXグループ経営管理(DBサーバ)'!V44+'NXグループ経営管理(DBサーバ)'!V47)*12*('NXグループ経営管理(DBサーバ)'!$J$13+'NXグループ経営管理(DBサーバ)'!$J$15)</f>
        <v>0</v>
      </c>
      <c r="AA18" s="132">
        <f>('NXグループ経営管理(DBサーバ)'!W41+'NXグループ経営管理(DBサーバ)'!W44+'NXグループ経営管理(DBサーバ)'!W47)*12*('NXグループ経営管理(DBサーバ)'!$J$13+'NXグループ経営管理(DBサーバ)'!$J$15)</f>
        <v>0</v>
      </c>
      <c r="AB18" s="132">
        <f>('NXグループ経営管理(DBサーバ)'!X41+'NXグループ経営管理(DBサーバ)'!X44+'NXグループ経営管理(DBサーバ)'!X47)*12*('NXグループ経営管理(DBサーバ)'!$J$13+'NXグループ経営管理(DBサーバ)'!$J$15)</f>
        <v>0</v>
      </c>
      <c r="AC18" s="132">
        <f>('NXグループ経営管理(DBサーバ)'!Y41+'NXグループ経営管理(DBサーバ)'!Y44+'NXグループ経営管理(DBサーバ)'!Y47)*12*('NXグループ経営管理(DBサーバ)'!$J$13+'NXグループ経営管理(DBサーバ)'!$J$15)</f>
        <v>0</v>
      </c>
      <c r="AD18" s="132">
        <f>('NXグループ経営管理(DBサーバ)'!Z41+'NXグループ経営管理(DBサーバ)'!Z44+'NXグループ経営管理(DBサーバ)'!Z47)*12*('NXグループ経営管理(DBサーバ)'!$J$13+'NXグループ経営管理(DBサーバ)'!$J$15)</f>
        <v>0</v>
      </c>
      <c r="AE18" s="132">
        <f>('NXグループ経営管理(DBサーバ)'!AA41+'NXグループ経営管理(DBサーバ)'!AA44+'NXグループ経営管理(DBサーバ)'!AA47)*12*('NXグループ経営管理(DBサーバ)'!$J$13+'NXグループ経営管理(DBサーバ)'!$J$15)</f>
        <v>0</v>
      </c>
      <c r="AF18" s="132">
        <f>('NXグループ経営管理(DBサーバ)'!AB41+'NXグループ経営管理(DBサーバ)'!AB44+'NXグループ経営管理(DBサーバ)'!AB47)*12*('NXグループ経営管理(DBサーバ)'!$J$13+'NXグループ経営管理(DBサーバ)'!$J$15)</f>
        <v>0</v>
      </c>
      <c r="AG18" s="132">
        <f>('NXグループ経営管理(DBサーバ)'!AC41+'NXグループ経営管理(DBサーバ)'!AC44+'NXグループ経営管理(DBサーバ)'!AC47)*12*('NXグループ経営管理(DBサーバ)'!$J$13+'NXグループ経営管理(DBサーバ)'!$J$15)</f>
        <v>0</v>
      </c>
      <c r="AH18" s="132">
        <f>('NXグループ経営管理(DBサーバ)'!AD41+'NXグループ経営管理(DBサーバ)'!AD44+'NXグループ経営管理(DBサーバ)'!AD47)*12*('NXグループ経営管理(DBサーバ)'!$J$13+'NXグループ経営管理(DBサーバ)'!$J$15)</f>
        <v>0</v>
      </c>
      <c r="AI18" s="132">
        <f>('NXグループ経営管理(DBサーバ)'!AE41+'NXグループ経営管理(DBサーバ)'!AE44+'NXグループ経営管理(DBサーバ)'!AE47)*12*('NXグループ経営管理(DBサーバ)'!$J$13+'NXグループ経営管理(DBサーバ)'!$J$15)</f>
        <v>0</v>
      </c>
      <c r="AJ18" s="83" t="s">
        <v>348</v>
      </c>
      <c r="AK18" s="64">
        <f t="shared" si="1"/>
        <v>4860000</v>
      </c>
    </row>
    <row r="19" spans="1:39" ht="14.25" customHeight="1">
      <c r="B19" s="113"/>
      <c r="C19" s="113"/>
      <c r="D19" s="113"/>
      <c r="E19" s="113"/>
      <c r="F19" s="113"/>
      <c r="G19" s="113"/>
      <c r="I19" s="132">
        <v>5</v>
      </c>
      <c r="J19" s="109" t="s">
        <v>330</v>
      </c>
      <c r="K19" s="133" t="s">
        <v>239</v>
      </c>
      <c r="L19" s="72" t="s">
        <v>226</v>
      </c>
      <c r="M19" s="71">
        <v>1E-4</v>
      </c>
      <c r="N19" s="71">
        <v>1E-4</v>
      </c>
      <c r="O19" s="66">
        <f t="shared" si="0"/>
        <v>972</v>
      </c>
      <c r="P19" s="132">
        <f>('NXグループ経営管理(DBサーバ)'!L41+'NXグループ経営管理(DBサーバ)'!L44+'NXグループ経営管理(DBサーバ)'!L47)*12*('NXグループ経営管理(DBサーバ)'!$J$13+'NXグループ経営管理(DBサーバ)'!$J$15)</f>
        <v>972000</v>
      </c>
      <c r="Q19" s="132">
        <f>('NXグループ経営管理(DBサーバ)'!M41+'NXグループ経営管理(DBサーバ)'!M44+'NXグループ経営管理(DBサーバ)'!M47)*12*('NXグループ経営管理(DBサーバ)'!$J$13+'NXグループ経営管理(DBサーバ)'!$J$15)</f>
        <v>972000</v>
      </c>
      <c r="R19" s="132">
        <f>('NXグループ経営管理(DBサーバ)'!N41+'NXグループ経営管理(DBサーバ)'!N44+'NXグループ経営管理(DBサーバ)'!N47)*12*('NXグループ経営管理(DBサーバ)'!$J$13+'NXグループ経営管理(DBサーバ)'!$J$15)</f>
        <v>972000</v>
      </c>
      <c r="S19" s="132">
        <f>('NXグループ経営管理(DBサーバ)'!O41+'NXグループ経営管理(DBサーバ)'!O44+'NXグループ経営管理(DBサーバ)'!O47)*12*('NXグループ経営管理(DBサーバ)'!$J$13+'NXグループ経営管理(DBサーバ)'!$J$15)</f>
        <v>972000</v>
      </c>
      <c r="T19" s="132">
        <f>('NXグループ経営管理(DBサーバ)'!P41+'NXグループ経営管理(DBサーバ)'!P44+'NXグループ経営管理(DBサーバ)'!P47)*12*('NXグループ経営管理(DBサーバ)'!$J$13+'NXグループ経営管理(DBサーバ)'!$J$15)</f>
        <v>972000</v>
      </c>
      <c r="U19" s="132">
        <f>('NXグループ経営管理(DBサーバ)'!Q41+'NXグループ経営管理(DBサーバ)'!Q44+'NXグループ経営管理(DBサーバ)'!Q47)*12*('NXグループ経営管理(DBサーバ)'!$J$13+'NXグループ経営管理(DBサーバ)'!$J$15)</f>
        <v>0</v>
      </c>
      <c r="V19" s="132">
        <f>('NXグループ経営管理(DBサーバ)'!R41+'NXグループ経営管理(DBサーバ)'!R44+'NXグループ経営管理(DBサーバ)'!R47)*12*('NXグループ経営管理(DBサーバ)'!$J$13+'NXグループ経営管理(DBサーバ)'!$J$15)</f>
        <v>0</v>
      </c>
      <c r="W19" s="132">
        <f>('NXグループ経営管理(DBサーバ)'!S41+'NXグループ経営管理(DBサーバ)'!S44+'NXグループ経営管理(DBサーバ)'!S47)*12*('NXグループ経営管理(DBサーバ)'!$J$13+'NXグループ経営管理(DBサーバ)'!$J$15)</f>
        <v>0</v>
      </c>
      <c r="X19" s="132">
        <f>('NXグループ経営管理(DBサーバ)'!T41+'NXグループ経営管理(DBサーバ)'!T44+'NXグループ経営管理(DBサーバ)'!T47)*12*('NXグループ経営管理(DBサーバ)'!$J$13+'NXグループ経営管理(DBサーバ)'!$J$15)</f>
        <v>0</v>
      </c>
      <c r="Y19" s="132">
        <f>('NXグループ経営管理(DBサーバ)'!U41+'NXグループ経営管理(DBサーバ)'!U44+'NXグループ経営管理(DBサーバ)'!U47)*12*('NXグループ経営管理(DBサーバ)'!$J$13+'NXグループ経営管理(DBサーバ)'!$J$15)</f>
        <v>0</v>
      </c>
      <c r="Z19" s="132">
        <f>('NXグループ経営管理(DBサーバ)'!V41+'NXグループ経営管理(DBサーバ)'!V44+'NXグループ経営管理(DBサーバ)'!V47)*12*('NXグループ経営管理(DBサーバ)'!$J$13+'NXグループ経営管理(DBサーバ)'!$J$15)</f>
        <v>0</v>
      </c>
      <c r="AA19" s="132">
        <f>('NXグループ経営管理(DBサーバ)'!W41+'NXグループ経営管理(DBサーバ)'!W44+'NXグループ経営管理(DBサーバ)'!W47)*12*('NXグループ経営管理(DBサーバ)'!$J$13+'NXグループ経営管理(DBサーバ)'!$J$15)</f>
        <v>0</v>
      </c>
      <c r="AB19" s="132">
        <f>('NXグループ経営管理(DBサーバ)'!X41+'NXグループ経営管理(DBサーバ)'!X44+'NXグループ経営管理(DBサーバ)'!X47)*12*('NXグループ経営管理(DBサーバ)'!$J$13+'NXグループ経営管理(DBサーバ)'!$J$15)</f>
        <v>0</v>
      </c>
      <c r="AC19" s="132">
        <f>('NXグループ経営管理(DBサーバ)'!Y41+'NXグループ経営管理(DBサーバ)'!Y44+'NXグループ経営管理(DBサーバ)'!Y47)*12*('NXグループ経営管理(DBサーバ)'!$J$13+'NXグループ経営管理(DBサーバ)'!$J$15)</f>
        <v>0</v>
      </c>
      <c r="AD19" s="132">
        <f>('NXグループ経営管理(DBサーバ)'!Z41+'NXグループ経営管理(DBサーバ)'!Z44+'NXグループ経営管理(DBサーバ)'!Z47)*12*('NXグループ経営管理(DBサーバ)'!$J$13+'NXグループ経営管理(DBサーバ)'!$J$15)</f>
        <v>0</v>
      </c>
      <c r="AE19" s="132">
        <f>('NXグループ経営管理(DBサーバ)'!AA41+'NXグループ経営管理(DBサーバ)'!AA44+'NXグループ経営管理(DBサーバ)'!AA47)*12*('NXグループ経営管理(DBサーバ)'!$J$13+'NXグループ経営管理(DBサーバ)'!$J$15)</f>
        <v>0</v>
      </c>
      <c r="AF19" s="132">
        <f>('NXグループ経営管理(DBサーバ)'!AB41+'NXグループ経営管理(DBサーバ)'!AB44+'NXグループ経営管理(DBサーバ)'!AB47)*12*('NXグループ経営管理(DBサーバ)'!$J$13+'NXグループ経営管理(DBサーバ)'!$J$15)</f>
        <v>0</v>
      </c>
      <c r="AG19" s="132">
        <f>('NXグループ経営管理(DBサーバ)'!AC41+'NXグループ経営管理(DBサーバ)'!AC44+'NXグループ経営管理(DBサーバ)'!AC47)*12*('NXグループ経営管理(DBサーバ)'!$J$13+'NXグループ経営管理(DBサーバ)'!$J$15)</f>
        <v>0</v>
      </c>
      <c r="AH19" s="132">
        <f>('NXグループ経営管理(DBサーバ)'!AD41+'NXグループ経営管理(DBサーバ)'!AD44+'NXグループ経営管理(DBサーバ)'!AD47)*12*('NXグループ経営管理(DBサーバ)'!$J$13+'NXグループ経営管理(DBサーバ)'!$J$15)</f>
        <v>0</v>
      </c>
      <c r="AI19" s="132">
        <f>('NXグループ経営管理(DBサーバ)'!AE41+'NXグループ経営管理(DBサーバ)'!AE44+'NXグループ経営管理(DBサーバ)'!AE47)*12*('NXグループ経営管理(DBサーバ)'!$J$13+'NXグループ経営管理(DBサーバ)'!$J$15)</f>
        <v>0</v>
      </c>
      <c r="AJ19" s="83" t="s">
        <v>230</v>
      </c>
      <c r="AK19" s="64">
        <f t="shared" si="1"/>
        <v>4860000</v>
      </c>
    </row>
    <row r="20" spans="1:39" ht="14.25" customHeight="1">
      <c r="B20" s="113"/>
      <c r="C20" s="113"/>
      <c r="D20" s="113"/>
      <c r="E20" s="113"/>
      <c r="F20" s="113"/>
      <c r="G20" s="113"/>
      <c r="I20" s="132">
        <v>6</v>
      </c>
      <c r="J20" s="109" t="s">
        <v>220</v>
      </c>
      <c r="K20" s="133" t="s">
        <v>224</v>
      </c>
      <c r="L20" s="72" t="s">
        <v>226</v>
      </c>
      <c r="M20" s="71">
        <v>1E-4</v>
      </c>
      <c r="N20" s="78">
        <v>2.0000000000000001E-4</v>
      </c>
      <c r="O20" s="66">
        <f t="shared" si="0"/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1">
        <v>0</v>
      </c>
      <c r="AH20" s="141">
        <v>0</v>
      </c>
      <c r="AI20" s="141">
        <v>0</v>
      </c>
      <c r="AJ20" s="83" t="s">
        <v>245</v>
      </c>
      <c r="AK20" s="64">
        <f t="shared" si="1"/>
        <v>0</v>
      </c>
    </row>
    <row r="21" spans="1:39" ht="14.25" customHeight="1">
      <c r="B21" s="113"/>
      <c r="C21" s="113"/>
      <c r="D21" s="113"/>
      <c r="E21" s="113"/>
      <c r="F21" s="113"/>
      <c r="G21" s="113"/>
      <c r="I21" s="132">
        <v>7</v>
      </c>
      <c r="J21" s="109" t="s">
        <v>236</v>
      </c>
      <c r="K21" s="133" t="s">
        <v>241</v>
      </c>
      <c r="L21" s="72" t="s">
        <v>226</v>
      </c>
      <c r="M21" s="71">
        <v>1E-4</v>
      </c>
      <c r="N21" s="78">
        <v>1E-4</v>
      </c>
      <c r="O21" s="66">
        <f t="shared" si="0"/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41">
        <v>0</v>
      </c>
      <c r="W21" s="141">
        <v>0</v>
      </c>
      <c r="X21" s="141">
        <v>0</v>
      </c>
      <c r="Y21" s="141">
        <v>0</v>
      </c>
      <c r="Z21" s="141">
        <v>0</v>
      </c>
      <c r="AA21" s="141">
        <v>0</v>
      </c>
      <c r="AB21" s="141">
        <v>0</v>
      </c>
      <c r="AC21" s="141">
        <v>0</v>
      </c>
      <c r="AD21" s="141">
        <v>0</v>
      </c>
      <c r="AE21" s="141">
        <v>0</v>
      </c>
      <c r="AF21" s="141">
        <v>0</v>
      </c>
      <c r="AG21" s="141">
        <v>0</v>
      </c>
      <c r="AH21" s="141">
        <v>0</v>
      </c>
      <c r="AI21" s="141">
        <v>0</v>
      </c>
      <c r="AJ21" s="83" t="s">
        <v>246</v>
      </c>
      <c r="AK21" s="64">
        <f t="shared" si="1"/>
        <v>0</v>
      </c>
    </row>
    <row r="22" spans="1:39" ht="14.25" customHeight="1">
      <c r="B22" s="113"/>
      <c r="C22" s="113"/>
      <c r="D22" s="113"/>
      <c r="E22" s="113"/>
      <c r="F22" s="113"/>
      <c r="G22" s="113"/>
      <c r="I22" s="132">
        <v>8</v>
      </c>
      <c r="J22" s="135" t="s">
        <v>336</v>
      </c>
      <c r="K22" s="136" t="s">
        <v>349</v>
      </c>
      <c r="L22" s="137" t="s">
        <v>226</v>
      </c>
      <c r="M22" s="71">
        <v>1E-4</v>
      </c>
      <c r="N22" s="71">
        <v>2.0000000000000001E-4</v>
      </c>
      <c r="O22" s="139">
        <f t="shared" si="0"/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  <c r="AI22" s="141">
        <v>0</v>
      </c>
      <c r="AJ22" s="83" t="s">
        <v>247</v>
      </c>
      <c r="AK22" s="64">
        <f t="shared" si="1"/>
        <v>0</v>
      </c>
    </row>
    <row r="23" spans="1:39" ht="14.25" customHeight="1">
      <c r="C23" s="68"/>
      <c r="D23" s="6"/>
      <c r="I23" s="132">
        <v>9</v>
      </c>
      <c r="J23" s="109" t="s">
        <v>237</v>
      </c>
      <c r="K23" s="133" t="s">
        <v>242</v>
      </c>
      <c r="L23" s="72" t="s">
        <v>226</v>
      </c>
      <c r="M23" s="71">
        <v>1E-4</v>
      </c>
      <c r="N23" s="71">
        <v>1E-4</v>
      </c>
      <c r="O23" s="66">
        <f t="shared" si="0"/>
        <v>0</v>
      </c>
      <c r="P23" s="141">
        <v>0</v>
      </c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41">
        <v>0</v>
      </c>
      <c r="W23" s="141">
        <v>0</v>
      </c>
      <c r="X23" s="141">
        <v>0</v>
      </c>
      <c r="Y23" s="141">
        <v>0</v>
      </c>
      <c r="Z23" s="141">
        <v>0</v>
      </c>
      <c r="AA23" s="141">
        <v>0</v>
      </c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1">
        <v>0</v>
      </c>
      <c r="AH23" s="141">
        <v>0</v>
      </c>
      <c r="AI23" s="141">
        <v>0</v>
      </c>
      <c r="AJ23" s="83" t="s">
        <v>248</v>
      </c>
      <c r="AK23" s="64">
        <f>SUM(P23:AI23)</f>
        <v>0</v>
      </c>
    </row>
    <row r="24" spans="1:39" ht="14.25" customHeight="1">
      <c r="A24" s="112"/>
      <c r="B24" s="112"/>
      <c r="C24" s="75"/>
      <c r="D24" s="76"/>
      <c r="E24" s="112"/>
      <c r="F24" s="112"/>
      <c r="G24" s="112"/>
      <c r="I24" s="132">
        <v>10</v>
      </c>
      <c r="J24" s="109" t="s">
        <v>221</v>
      </c>
      <c r="K24" s="133" t="s">
        <v>225</v>
      </c>
      <c r="L24" s="72" t="s">
        <v>226</v>
      </c>
      <c r="M24" s="71">
        <v>1E-4</v>
      </c>
      <c r="N24" s="78">
        <v>2.0000000000000001E-4</v>
      </c>
      <c r="O24" s="66">
        <f t="shared" si="0"/>
        <v>1080</v>
      </c>
      <c r="P24" s="132">
        <f>'NXグループ経営管理(DBサーバ)'!L57*('NXグループ経営管理(DBサーバ)'!$J$13+'NXグループ経営管理(DBサーバ)'!$J$15)</f>
        <v>720000</v>
      </c>
      <c r="Q24" s="132">
        <f>'NXグループ経営管理(DBサーバ)'!M57*('NXグループ経営管理(DBサーバ)'!$J$13+'NXグループ経営管理(DBサーバ)'!$J$15)</f>
        <v>720000</v>
      </c>
      <c r="R24" s="132">
        <f>'NXグループ経営管理(DBサーバ)'!N57*('NXグループ経営管理(DBサーバ)'!$J$13+'NXグループ経営管理(DBサーバ)'!$J$15)</f>
        <v>720000</v>
      </c>
      <c r="S24" s="132">
        <f>'NXグループ経営管理(DBサーバ)'!O57*('NXグループ経営管理(DBサーバ)'!$J$13+'NXグループ経営管理(DBサーバ)'!$J$15)</f>
        <v>720000</v>
      </c>
      <c r="T24" s="132">
        <f>'NXグループ経営管理(DBサーバ)'!P57*('NXグループ経営管理(DBサーバ)'!$J$13+'NXグループ経営管理(DBサーバ)'!$J$15)</f>
        <v>720000</v>
      </c>
      <c r="U24" s="132">
        <f>'NXグループ経営管理(DBサーバ)'!Q57*('NXグループ経営管理(DBサーバ)'!$J$13+'NXグループ経営管理(DBサーバ)'!$J$15)</f>
        <v>0</v>
      </c>
      <c r="V24" s="132">
        <f>'NXグループ経営管理(DBサーバ)'!R57*('NXグループ経営管理(DBサーバ)'!$J$13+'NXグループ経営管理(DBサーバ)'!$J$15)</f>
        <v>0</v>
      </c>
      <c r="W24" s="132">
        <f>'NXグループ経営管理(DBサーバ)'!S57*('NXグループ経営管理(DBサーバ)'!$J$13+'NXグループ経営管理(DBサーバ)'!$J$15)</f>
        <v>0</v>
      </c>
      <c r="X24" s="132">
        <f>'NXグループ経営管理(DBサーバ)'!T57*('NXグループ経営管理(DBサーバ)'!$J$13+'NXグループ経営管理(DBサーバ)'!$J$15)</f>
        <v>0</v>
      </c>
      <c r="Y24" s="132">
        <f>'NXグループ経営管理(DBサーバ)'!U57*('NXグループ経営管理(DBサーバ)'!$J$13+'NXグループ経営管理(DBサーバ)'!$J$15)</f>
        <v>0</v>
      </c>
      <c r="Z24" s="132">
        <f>'NXグループ経営管理(DBサーバ)'!V57*('NXグループ経営管理(DBサーバ)'!$J$13+'NXグループ経営管理(DBサーバ)'!$J$15)</f>
        <v>0</v>
      </c>
      <c r="AA24" s="132">
        <f>'NXグループ経営管理(DBサーバ)'!W57*('NXグループ経営管理(DBサーバ)'!$J$13+'NXグループ経営管理(DBサーバ)'!$J$15)</f>
        <v>0</v>
      </c>
      <c r="AB24" s="132">
        <f>'NXグループ経営管理(DBサーバ)'!X57*('NXグループ経営管理(DBサーバ)'!$J$13+'NXグループ経営管理(DBサーバ)'!$J$15)</f>
        <v>0</v>
      </c>
      <c r="AC24" s="132">
        <f>'NXグループ経営管理(DBサーバ)'!Y57*('NXグループ経営管理(DBサーバ)'!$J$13+'NXグループ経営管理(DBサーバ)'!$J$15)</f>
        <v>0</v>
      </c>
      <c r="AD24" s="132">
        <f>'NXグループ経営管理(DBサーバ)'!Z57*('NXグループ経営管理(DBサーバ)'!$J$13+'NXグループ経営管理(DBサーバ)'!$J$15)</f>
        <v>0</v>
      </c>
      <c r="AE24" s="132">
        <f>'NXグループ経営管理(DBサーバ)'!AA57*('NXグループ経営管理(DBサーバ)'!$J$13+'NXグループ経営管理(DBサーバ)'!$J$15)</f>
        <v>0</v>
      </c>
      <c r="AF24" s="132">
        <f>'NXグループ経営管理(DBサーバ)'!AB57*('NXグループ経営管理(DBサーバ)'!$J$13+'NXグループ経営管理(DBサーバ)'!$J$15)</f>
        <v>0</v>
      </c>
      <c r="AG24" s="132">
        <f>'NXグループ経営管理(DBサーバ)'!AC57*('NXグループ経営管理(DBサーバ)'!$J$13+'NXグループ経営管理(DBサーバ)'!$J$15)</f>
        <v>0</v>
      </c>
      <c r="AH24" s="132">
        <f>'NXグループ経営管理(DBサーバ)'!AD57*('NXグループ経営管理(DBサーバ)'!$J$13+'NXグループ経営管理(DBサーバ)'!$J$15)</f>
        <v>0</v>
      </c>
      <c r="AI24" s="132">
        <f>'NXグループ経営管理(DBサーバ)'!AE57*('NXグループ経営管理(DBサーバ)'!$J$13+'NXグループ経営管理(DBサーバ)'!$J$15)</f>
        <v>0</v>
      </c>
      <c r="AJ24" s="65" t="s">
        <v>352</v>
      </c>
      <c r="AK24" s="64">
        <f>SUM(P24:AI24)</f>
        <v>3600000</v>
      </c>
    </row>
    <row r="25" spans="1:39" ht="14.25" customHeight="1">
      <c r="A25" s="112"/>
      <c r="B25" s="112"/>
      <c r="C25" s="75"/>
      <c r="D25" s="76"/>
      <c r="E25" s="112"/>
      <c r="F25" s="112"/>
      <c r="G25" s="112"/>
      <c r="I25" s="132">
        <v>11</v>
      </c>
      <c r="J25" s="135" t="s">
        <v>354</v>
      </c>
      <c r="K25" s="136" t="s">
        <v>355</v>
      </c>
      <c r="L25" s="137" t="s">
        <v>394</v>
      </c>
      <c r="M25" s="71">
        <v>1E-4</v>
      </c>
      <c r="N25" s="78">
        <v>6.9999999999999999E-4</v>
      </c>
      <c r="O25" s="139">
        <f>(M25+N25)*(SUM(P25:AI25))</f>
        <v>28800</v>
      </c>
      <c r="P25" s="132">
        <f>'NXグループ経営管理(DBサーバ)'!L53*('NXグループ経営管理(DBサーバ)'!$J$13+'NXグループ経営管理(DBサーバ)'!$J$15)</f>
        <v>7200000</v>
      </c>
      <c r="Q25" s="132">
        <f>'NXグループ経営管理(DBサーバ)'!M53*('NXグループ経営管理(DBサーバ)'!$J$13+'NXグループ経営管理(DBサーバ)'!$J$15)</f>
        <v>7200000</v>
      </c>
      <c r="R25" s="132">
        <f>'NXグループ経営管理(DBサーバ)'!N53*('NXグループ経営管理(DBサーバ)'!$J$13+'NXグループ経営管理(DBサーバ)'!$J$15)</f>
        <v>7200000</v>
      </c>
      <c r="S25" s="132">
        <f>'NXグループ経営管理(DBサーバ)'!O53*('NXグループ経営管理(DBサーバ)'!$J$13+'NXグループ経営管理(DBサーバ)'!$J$15)</f>
        <v>7200000</v>
      </c>
      <c r="T25" s="132">
        <f>'NXグループ経営管理(DBサーバ)'!P53*('NXグループ経営管理(DBサーバ)'!$J$13+'NXグループ経営管理(DBサーバ)'!$J$15)</f>
        <v>7200000</v>
      </c>
      <c r="U25" s="132">
        <f>'NXグループ経営管理(DBサーバ)'!Q53*('NXグループ経営管理(DBサーバ)'!$J$13+'NXグループ経営管理(DBサーバ)'!$J$15)</f>
        <v>0</v>
      </c>
      <c r="V25" s="132">
        <f>'NXグループ経営管理(DBサーバ)'!R53*('NXグループ経営管理(DBサーバ)'!$J$13+'NXグループ経営管理(DBサーバ)'!$J$15)</f>
        <v>0</v>
      </c>
      <c r="W25" s="132">
        <f>'NXグループ経営管理(DBサーバ)'!S53*('NXグループ経営管理(DBサーバ)'!$J$13+'NXグループ経営管理(DBサーバ)'!$J$15)</f>
        <v>0</v>
      </c>
      <c r="X25" s="132">
        <f>'NXグループ経営管理(DBサーバ)'!T53*('NXグループ経営管理(DBサーバ)'!$J$13+'NXグループ経営管理(DBサーバ)'!$J$15)</f>
        <v>0</v>
      </c>
      <c r="Y25" s="132">
        <f>'NXグループ経営管理(DBサーバ)'!U53*('NXグループ経営管理(DBサーバ)'!$J$13+'NXグループ経営管理(DBサーバ)'!$J$15)</f>
        <v>0</v>
      </c>
      <c r="Z25" s="132">
        <f>'NXグループ経営管理(DBサーバ)'!V53*('NXグループ経営管理(DBサーバ)'!$J$13+'NXグループ経営管理(DBサーバ)'!$J$15)</f>
        <v>0</v>
      </c>
      <c r="AA25" s="132">
        <f>'NXグループ経営管理(DBサーバ)'!W53*('NXグループ経営管理(DBサーバ)'!$J$13+'NXグループ経営管理(DBサーバ)'!$J$15)</f>
        <v>0</v>
      </c>
      <c r="AB25" s="132">
        <f>'NXグループ経営管理(DBサーバ)'!X53*('NXグループ経営管理(DBサーバ)'!$J$13+'NXグループ経営管理(DBサーバ)'!$J$15)</f>
        <v>0</v>
      </c>
      <c r="AC25" s="132">
        <f>'NXグループ経営管理(DBサーバ)'!Y53*('NXグループ経営管理(DBサーバ)'!$J$13+'NXグループ経営管理(DBサーバ)'!$J$15)</f>
        <v>0</v>
      </c>
      <c r="AD25" s="132">
        <f>'NXグループ経営管理(DBサーバ)'!Z53*('NXグループ経営管理(DBサーバ)'!$J$13+'NXグループ経営管理(DBサーバ)'!$J$15)</f>
        <v>0</v>
      </c>
      <c r="AE25" s="132">
        <f>'NXグループ経営管理(DBサーバ)'!AA53*('NXグループ経営管理(DBサーバ)'!$J$13+'NXグループ経営管理(DBサーバ)'!$J$15)</f>
        <v>0</v>
      </c>
      <c r="AF25" s="132">
        <f>'NXグループ経営管理(DBサーバ)'!AB53*('NXグループ経営管理(DBサーバ)'!$J$13+'NXグループ経営管理(DBサーバ)'!$J$15)</f>
        <v>0</v>
      </c>
      <c r="AG25" s="132">
        <f>'NXグループ経営管理(DBサーバ)'!AC53*('NXグループ経営管理(DBサーバ)'!$J$13+'NXグループ経営管理(DBサーバ)'!$J$15)</f>
        <v>0</v>
      </c>
      <c r="AH25" s="132">
        <f>'NXグループ経営管理(DBサーバ)'!AD53*('NXグループ経営管理(DBサーバ)'!$J$13+'NXグループ経営管理(DBサーバ)'!$J$15)</f>
        <v>0</v>
      </c>
      <c r="AI25" s="132">
        <f>'NXグループ経営管理(DBサーバ)'!AE53*('NXグループ経営管理(DBサーバ)'!$J$13+'NXグループ経営管理(DBサーバ)'!$J$15)</f>
        <v>0</v>
      </c>
      <c r="AJ25" s="65" t="s">
        <v>357</v>
      </c>
      <c r="AK25" s="64">
        <f>SUM(P25:AI25)</f>
        <v>36000000</v>
      </c>
    </row>
    <row r="26" spans="1:39" ht="14.25" customHeight="1">
      <c r="A26" s="112"/>
      <c r="B26" s="112"/>
      <c r="C26" s="75"/>
      <c r="D26" s="76"/>
      <c r="E26" s="112"/>
      <c r="F26" s="112"/>
      <c r="G26" s="112"/>
      <c r="I26" s="148">
        <v>12</v>
      </c>
      <c r="J26" s="135" t="s">
        <v>392</v>
      </c>
      <c r="K26" s="149" t="s">
        <v>393</v>
      </c>
      <c r="L26" s="136" t="s">
        <v>395</v>
      </c>
      <c r="M26" s="71">
        <v>1E-4</v>
      </c>
      <c r="N26" s="78">
        <v>1E-4</v>
      </c>
      <c r="O26" s="139">
        <f>(M26+N26)*AK26</f>
        <v>7.2000000000000008E-2</v>
      </c>
      <c r="P26" s="150" t="s">
        <v>396</v>
      </c>
      <c r="Q26" s="150" t="s">
        <v>396</v>
      </c>
      <c r="R26" s="150" t="s">
        <v>396</v>
      </c>
      <c r="S26" s="150" t="s">
        <v>396</v>
      </c>
      <c r="T26" s="150" t="s">
        <v>396</v>
      </c>
      <c r="U26" s="150" t="s">
        <v>396</v>
      </c>
      <c r="V26" s="150" t="s">
        <v>396</v>
      </c>
      <c r="W26" s="150" t="s">
        <v>396</v>
      </c>
      <c r="X26" s="150" t="s">
        <v>396</v>
      </c>
      <c r="Y26" s="150" t="s">
        <v>396</v>
      </c>
      <c r="Z26" s="150" t="s">
        <v>396</v>
      </c>
      <c r="AA26" s="150" t="s">
        <v>396</v>
      </c>
      <c r="AB26" s="150" t="s">
        <v>396</v>
      </c>
      <c r="AC26" s="150" t="s">
        <v>396</v>
      </c>
      <c r="AD26" s="150" t="s">
        <v>396</v>
      </c>
      <c r="AE26" s="150" t="s">
        <v>396</v>
      </c>
      <c r="AF26" s="150" t="s">
        <v>396</v>
      </c>
      <c r="AG26" s="150" t="s">
        <v>396</v>
      </c>
      <c r="AH26" s="150" t="s">
        <v>396</v>
      </c>
      <c r="AI26" s="150" t="s">
        <v>396</v>
      </c>
      <c r="AJ26" s="83" t="s">
        <v>403</v>
      </c>
      <c r="AK26" s="132">
        <f>'NXグループ経営管理(DBサーバ)'!J12*('NXグループ経営管理(DBサーバ)'!J13+'NXグループ経営管理(DBサーバ)'!J15)*12</f>
        <v>360</v>
      </c>
      <c r="AL26" s="83"/>
      <c r="AM26" s="65"/>
    </row>
    <row r="27" spans="1:39" ht="28.5" customHeight="1">
      <c r="A27" s="112"/>
      <c r="B27" s="112" t="s">
        <v>263</v>
      </c>
      <c r="C27" s="75"/>
      <c r="D27" s="76"/>
      <c r="E27" s="112"/>
      <c r="F27" s="112"/>
      <c r="G27" s="112"/>
      <c r="I27" s="70"/>
      <c r="AL27" s="65"/>
    </row>
    <row r="28" spans="1:39" ht="14.25" customHeight="1">
      <c r="A28" s="112"/>
      <c r="F28" s="112"/>
      <c r="G28" s="112"/>
      <c r="I28" s="95" t="s">
        <v>249</v>
      </c>
      <c r="AL28" s="65"/>
    </row>
    <row r="29" spans="1:39" ht="14.25" customHeight="1">
      <c r="A29" s="112"/>
      <c r="F29" s="112"/>
      <c r="G29" s="112"/>
      <c r="I29" s="118" t="s">
        <v>182</v>
      </c>
      <c r="J29" s="118" t="s">
        <v>265</v>
      </c>
      <c r="K29" s="118" t="s">
        <v>266</v>
      </c>
      <c r="L29" s="69"/>
      <c r="M29" s="69"/>
      <c r="N29" s="69"/>
      <c r="O29" s="80"/>
      <c r="P29" s="122" t="s">
        <v>329</v>
      </c>
      <c r="Q29" s="122" t="s">
        <v>310</v>
      </c>
      <c r="R29" s="122" t="s">
        <v>311</v>
      </c>
      <c r="S29" s="122" t="s">
        <v>312</v>
      </c>
      <c r="T29" s="122" t="s">
        <v>313</v>
      </c>
      <c r="U29" s="122" t="s">
        <v>314</v>
      </c>
      <c r="V29" s="122" t="s">
        <v>315</v>
      </c>
      <c r="W29" s="122" t="s">
        <v>316</v>
      </c>
      <c r="X29" s="122" t="s">
        <v>317</v>
      </c>
      <c r="Y29" s="122" t="s">
        <v>318</v>
      </c>
      <c r="Z29" s="122" t="s">
        <v>319</v>
      </c>
      <c r="AA29" s="122" t="s">
        <v>320</v>
      </c>
      <c r="AB29" s="122" t="s">
        <v>321</v>
      </c>
      <c r="AC29" s="122" t="s">
        <v>322</v>
      </c>
      <c r="AD29" s="122" t="s">
        <v>323</v>
      </c>
      <c r="AE29" s="122" t="s">
        <v>324</v>
      </c>
      <c r="AF29" s="122" t="s">
        <v>325</v>
      </c>
      <c r="AG29" s="122" t="s">
        <v>326</v>
      </c>
      <c r="AH29" s="122" t="s">
        <v>327</v>
      </c>
      <c r="AI29" s="122" t="s">
        <v>328</v>
      </c>
      <c r="AJ29" s="83"/>
      <c r="AK29" s="143" t="s">
        <v>367</v>
      </c>
      <c r="AL29" s="83"/>
    </row>
    <row r="30" spans="1:39" ht="14.25" customHeight="1">
      <c r="A30" s="112"/>
      <c r="F30" s="112"/>
      <c r="G30" s="112"/>
      <c r="I30" s="64">
        <v>1</v>
      </c>
      <c r="J30" s="119" t="s">
        <v>185</v>
      </c>
      <c r="K30" s="84" t="s">
        <v>267</v>
      </c>
      <c r="L30" s="81"/>
      <c r="M30" s="82"/>
      <c r="N30" s="82"/>
      <c r="O30" s="74"/>
      <c r="P30" s="141">
        <v>16</v>
      </c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65" t="s">
        <v>365</v>
      </c>
      <c r="AK30" s="64">
        <f t="shared" ref="AK30:AK37" si="2">SUM(P30:AI30)</f>
        <v>16</v>
      </c>
      <c r="AL30" s="83"/>
      <c r="AM30" s="65"/>
    </row>
    <row r="31" spans="1:39" ht="14.25" customHeight="1">
      <c r="A31" s="112"/>
      <c r="F31" s="112"/>
      <c r="G31" s="112"/>
      <c r="I31" s="64">
        <v>2</v>
      </c>
      <c r="J31" s="119" t="s">
        <v>186</v>
      </c>
      <c r="K31" s="84" t="s">
        <v>268</v>
      </c>
      <c r="L31" s="81"/>
      <c r="M31" s="82"/>
      <c r="N31" s="82"/>
      <c r="O31" s="74"/>
      <c r="P31" s="141">
        <v>4</v>
      </c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65" t="s">
        <v>365</v>
      </c>
      <c r="AK31" s="64">
        <f t="shared" si="2"/>
        <v>4</v>
      </c>
      <c r="AL31" s="83"/>
      <c r="AM31" s="65"/>
    </row>
    <row r="32" spans="1:39" ht="14.25" customHeight="1">
      <c r="A32" s="112"/>
      <c r="F32" s="112"/>
      <c r="G32" s="112"/>
      <c r="I32" s="64">
        <v>3</v>
      </c>
      <c r="J32" s="119" t="s">
        <v>187</v>
      </c>
      <c r="K32" s="84" t="s">
        <v>269</v>
      </c>
      <c r="L32" s="81"/>
      <c r="M32" s="82"/>
      <c r="N32" s="82"/>
      <c r="O32" s="74"/>
      <c r="P32" s="132">
        <f>'NXグループ経営管理(DBサーバ)'!L22*'NXグループ経営管理(DBサーバ)'!L23</f>
        <v>900</v>
      </c>
      <c r="Q32" s="132">
        <f>'NXグループ経営管理(DBサーバ)'!M22*'NXグループ経営管理(DBサーバ)'!M23</f>
        <v>900</v>
      </c>
      <c r="R32" s="132">
        <f>'NXグループ経営管理(DBサーバ)'!N22*'NXグループ経営管理(DBサーバ)'!N23</f>
        <v>900</v>
      </c>
      <c r="S32" s="132">
        <f>'NXグループ経営管理(DBサーバ)'!O22*'NXグループ経営管理(DBサーバ)'!O23</f>
        <v>900</v>
      </c>
      <c r="T32" s="132">
        <f>'NXグループ経営管理(DBサーバ)'!P22*'NXグループ経営管理(DBサーバ)'!P23</f>
        <v>900</v>
      </c>
      <c r="U32" s="132">
        <f>'NXグループ経営管理(DBサーバ)'!Q22*'NXグループ経営管理(DBサーバ)'!Q23</f>
        <v>0</v>
      </c>
      <c r="V32" s="132">
        <f>'NXグループ経営管理(DBサーバ)'!R22*'NXグループ経営管理(DBサーバ)'!R23</f>
        <v>0</v>
      </c>
      <c r="W32" s="132">
        <f>'NXグループ経営管理(DBサーバ)'!S22*'NXグループ経営管理(DBサーバ)'!S23</f>
        <v>0</v>
      </c>
      <c r="X32" s="132">
        <f>'NXグループ経営管理(DBサーバ)'!T22*'NXグループ経営管理(DBサーバ)'!T23</f>
        <v>0</v>
      </c>
      <c r="Y32" s="132">
        <f>'NXグループ経営管理(DBサーバ)'!U22*'NXグループ経営管理(DBサーバ)'!U23</f>
        <v>0</v>
      </c>
      <c r="Z32" s="132">
        <f>'NXグループ経営管理(DBサーバ)'!V22*'NXグループ経営管理(DBサーバ)'!V23</f>
        <v>0</v>
      </c>
      <c r="AA32" s="132">
        <f>'NXグループ経営管理(DBサーバ)'!W22*'NXグループ経営管理(DBサーバ)'!W23</f>
        <v>0</v>
      </c>
      <c r="AB32" s="132">
        <f>'NXグループ経営管理(DBサーバ)'!X22*'NXグループ経営管理(DBサーバ)'!X23</f>
        <v>0</v>
      </c>
      <c r="AC32" s="132">
        <f>'NXグループ経営管理(DBサーバ)'!Y22*'NXグループ経営管理(DBサーバ)'!Y23</f>
        <v>0</v>
      </c>
      <c r="AD32" s="132">
        <f>'NXグループ経営管理(DBサーバ)'!Z22*'NXグループ経営管理(DBサーバ)'!Z23</f>
        <v>0</v>
      </c>
      <c r="AE32" s="132">
        <f>'NXグループ経営管理(DBサーバ)'!AA22*'NXグループ経営管理(DBサーバ)'!AA23</f>
        <v>0</v>
      </c>
      <c r="AF32" s="132">
        <f>'NXグループ経営管理(DBサーバ)'!AB22*'NXグループ経営管理(DBサーバ)'!AB23</f>
        <v>0</v>
      </c>
      <c r="AG32" s="132">
        <f>'NXグループ経営管理(DBサーバ)'!AC22*'NXグループ経営管理(DBサーバ)'!AC23</f>
        <v>0</v>
      </c>
      <c r="AH32" s="132">
        <f>'NXグループ経営管理(DBサーバ)'!AD22*'NXグループ経営管理(DBサーバ)'!AD23</f>
        <v>0</v>
      </c>
      <c r="AI32" s="132">
        <f>'NXグループ経営管理(DBサーバ)'!AE22*'NXグループ経営管理(DBサーバ)'!AE23</f>
        <v>0</v>
      </c>
      <c r="AJ32" s="65" t="s">
        <v>397</v>
      </c>
      <c r="AK32" s="64">
        <f t="shared" si="2"/>
        <v>4500</v>
      </c>
      <c r="AL32" s="83"/>
      <c r="AM32" s="65"/>
    </row>
    <row r="33" spans="1:39" ht="14.25" customHeight="1">
      <c r="A33" s="112"/>
      <c r="F33" s="112"/>
      <c r="G33" s="112"/>
      <c r="I33" s="64">
        <v>4</v>
      </c>
      <c r="J33" s="119" t="s">
        <v>188</v>
      </c>
      <c r="K33" s="84" t="s">
        <v>270</v>
      </c>
      <c r="L33" s="81"/>
      <c r="M33" s="82"/>
      <c r="N33" s="82"/>
      <c r="O33" s="74"/>
      <c r="P33" s="141">
        <v>25</v>
      </c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65" t="s">
        <v>365</v>
      </c>
      <c r="AK33" s="64">
        <f t="shared" si="2"/>
        <v>25</v>
      </c>
      <c r="AL33" s="83"/>
      <c r="AM33" s="65"/>
    </row>
    <row r="34" spans="1:39" ht="14.25" customHeight="1">
      <c r="A34" s="112"/>
      <c r="F34" s="112"/>
      <c r="G34" s="112"/>
      <c r="I34" s="64">
        <v>5</v>
      </c>
      <c r="J34" s="119" t="s">
        <v>331</v>
      </c>
      <c r="K34" s="84" t="s">
        <v>271</v>
      </c>
      <c r="L34" s="81"/>
      <c r="M34" s="82"/>
      <c r="N34" s="82"/>
      <c r="O34" s="74"/>
      <c r="P34" s="141">
        <v>0</v>
      </c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41">
        <v>0</v>
      </c>
      <c r="W34" s="141">
        <v>0</v>
      </c>
      <c r="X34" s="141">
        <v>0</v>
      </c>
      <c r="Y34" s="141">
        <v>0</v>
      </c>
      <c r="Z34" s="141">
        <v>0</v>
      </c>
      <c r="AA34" s="141">
        <v>0</v>
      </c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1">
        <v>0</v>
      </c>
      <c r="AH34" s="141">
        <v>0</v>
      </c>
      <c r="AI34" s="141">
        <v>0</v>
      </c>
      <c r="AJ34" s="65" t="s">
        <v>365</v>
      </c>
      <c r="AK34" s="64">
        <f t="shared" si="2"/>
        <v>0</v>
      </c>
      <c r="AL34" s="83"/>
      <c r="AM34" s="65"/>
    </row>
    <row r="35" spans="1:39" ht="14.25" customHeight="1">
      <c r="A35" s="112"/>
      <c r="F35" s="112"/>
      <c r="G35" s="112"/>
      <c r="I35" s="64">
        <v>6</v>
      </c>
      <c r="J35" s="119" t="s">
        <v>332</v>
      </c>
      <c r="K35" s="84" t="s">
        <v>272</v>
      </c>
      <c r="L35" s="81"/>
      <c r="M35" s="82"/>
      <c r="N35" s="82"/>
      <c r="O35" s="74"/>
      <c r="P35" s="141">
        <v>0</v>
      </c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41">
        <v>0</v>
      </c>
      <c r="W35" s="141">
        <v>0</v>
      </c>
      <c r="X35" s="141">
        <v>0</v>
      </c>
      <c r="Y35" s="141">
        <v>0</v>
      </c>
      <c r="Z35" s="141">
        <v>0</v>
      </c>
      <c r="AA35" s="141">
        <v>0</v>
      </c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1">
        <v>0</v>
      </c>
      <c r="AH35" s="141">
        <v>0</v>
      </c>
      <c r="AI35" s="141">
        <v>0</v>
      </c>
      <c r="AJ35" s="65" t="s">
        <v>404</v>
      </c>
      <c r="AK35" s="64">
        <f t="shared" si="2"/>
        <v>0</v>
      </c>
      <c r="AL35" s="83"/>
      <c r="AM35" s="65"/>
    </row>
    <row r="36" spans="1:39" ht="14.25" customHeight="1">
      <c r="A36" s="112"/>
      <c r="F36" s="112"/>
      <c r="G36" s="112"/>
      <c r="I36" s="64">
        <v>7</v>
      </c>
      <c r="J36" s="119" t="s">
        <v>333</v>
      </c>
      <c r="K36" s="84" t="s">
        <v>273</v>
      </c>
      <c r="L36" s="81"/>
      <c r="M36" s="82"/>
      <c r="N36" s="82"/>
      <c r="O36" s="74"/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65" t="s">
        <v>365</v>
      </c>
      <c r="AK36" s="64">
        <f t="shared" si="2"/>
        <v>0</v>
      </c>
      <c r="AL36" s="83"/>
      <c r="AM36" s="65"/>
    </row>
    <row r="37" spans="1:39" ht="14.25" customHeight="1">
      <c r="A37" s="112"/>
      <c r="F37" s="112"/>
      <c r="G37" s="112"/>
      <c r="I37" s="64">
        <v>8</v>
      </c>
      <c r="J37" s="119" t="s">
        <v>334</v>
      </c>
      <c r="K37" s="84" t="s">
        <v>274</v>
      </c>
      <c r="L37" s="81"/>
      <c r="M37" s="82"/>
      <c r="N37" s="82"/>
      <c r="O37" s="74"/>
      <c r="P37" s="141">
        <v>0</v>
      </c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41">
        <v>0</v>
      </c>
      <c r="W37" s="141">
        <v>0</v>
      </c>
      <c r="X37" s="141">
        <v>0</v>
      </c>
      <c r="Y37" s="141">
        <v>0</v>
      </c>
      <c r="Z37" s="141">
        <v>0</v>
      </c>
      <c r="AA37" s="141">
        <v>0</v>
      </c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1">
        <v>0</v>
      </c>
      <c r="AH37" s="141">
        <v>0</v>
      </c>
      <c r="AI37" s="141">
        <v>0</v>
      </c>
      <c r="AJ37" s="65" t="s">
        <v>365</v>
      </c>
      <c r="AK37" s="64">
        <f t="shared" si="2"/>
        <v>0</v>
      </c>
      <c r="AL37" s="83"/>
      <c r="AM37" s="65"/>
    </row>
    <row r="38" spans="1:39" ht="14.25" customHeight="1">
      <c r="A38" s="112"/>
      <c r="F38" s="112"/>
      <c r="G38" s="112"/>
      <c r="I38" s="64">
        <v>9</v>
      </c>
      <c r="J38" s="151" t="s">
        <v>399</v>
      </c>
      <c r="K38" s="84" t="s">
        <v>400</v>
      </c>
      <c r="L38" s="81"/>
      <c r="M38" s="82"/>
      <c r="N38" s="82"/>
      <c r="O38" s="74"/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K38" s="64">
        <f>SUM(P38:AI38)</f>
        <v>0</v>
      </c>
      <c r="AL38" s="83"/>
      <c r="AM38" s="65"/>
    </row>
    <row r="39" spans="1:39" ht="28.5" customHeight="1">
      <c r="A39" s="112"/>
      <c r="F39" s="112"/>
      <c r="G39" s="112"/>
      <c r="I39" s="70"/>
    </row>
    <row r="40" spans="1:39" ht="14.25" customHeight="1">
      <c r="A40" s="112"/>
      <c r="B40" s="112" t="s">
        <v>255</v>
      </c>
      <c r="C40" s="75"/>
      <c r="D40" s="76"/>
      <c r="E40" s="112"/>
      <c r="F40" s="112"/>
      <c r="G40" s="112"/>
      <c r="I40" s="96" t="s">
        <v>227</v>
      </c>
      <c r="O40" s="63" t="s">
        <v>240</v>
      </c>
    </row>
    <row r="41" spans="1:39" ht="14.25" customHeight="1" thickBot="1">
      <c r="A41" s="112"/>
      <c r="B41" s="112" t="s">
        <v>256</v>
      </c>
      <c r="C41" s="75" t="s">
        <v>368</v>
      </c>
      <c r="D41" s="76"/>
      <c r="E41" s="112"/>
      <c r="F41" s="112"/>
      <c r="G41" s="112"/>
      <c r="I41" s="87" t="s">
        <v>182</v>
      </c>
      <c r="J41" s="117" t="s">
        <v>183</v>
      </c>
      <c r="K41" s="88" t="s">
        <v>184</v>
      </c>
      <c r="L41" s="87" t="s">
        <v>181</v>
      </c>
      <c r="M41" s="89" t="s">
        <v>250</v>
      </c>
      <c r="N41" s="86" t="s">
        <v>251</v>
      </c>
      <c r="O41" s="89" t="s">
        <v>252</v>
      </c>
      <c r="P41" s="122" t="s">
        <v>329</v>
      </c>
      <c r="Q41" s="122" t="s">
        <v>310</v>
      </c>
      <c r="R41" s="122" t="s">
        <v>311</v>
      </c>
      <c r="S41" s="122" t="s">
        <v>312</v>
      </c>
      <c r="T41" s="122" t="s">
        <v>313</v>
      </c>
      <c r="U41" s="122" t="s">
        <v>314</v>
      </c>
      <c r="V41" s="122" t="s">
        <v>315</v>
      </c>
      <c r="W41" s="122" t="s">
        <v>316</v>
      </c>
      <c r="X41" s="122" t="s">
        <v>317</v>
      </c>
      <c r="Y41" s="122" t="s">
        <v>318</v>
      </c>
      <c r="Z41" s="122" t="s">
        <v>319</v>
      </c>
      <c r="AA41" s="122" t="s">
        <v>320</v>
      </c>
      <c r="AB41" s="122" t="s">
        <v>321</v>
      </c>
      <c r="AC41" s="122" t="s">
        <v>322</v>
      </c>
      <c r="AD41" s="122" t="s">
        <v>323</v>
      </c>
      <c r="AE41" s="122" t="s">
        <v>324</v>
      </c>
      <c r="AF41" s="122" t="s">
        <v>325</v>
      </c>
      <c r="AG41" s="122" t="s">
        <v>326</v>
      </c>
      <c r="AH41" s="122" t="s">
        <v>327</v>
      </c>
      <c r="AI41" s="122" t="s">
        <v>328</v>
      </c>
      <c r="AK41" s="143" t="s">
        <v>335</v>
      </c>
    </row>
    <row r="42" spans="1:39" ht="14.25" customHeight="1">
      <c r="A42" s="112"/>
      <c r="C42" s="112" t="s">
        <v>371</v>
      </c>
      <c r="D42" s="76"/>
      <c r="E42" s="112"/>
      <c r="F42" s="112"/>
      <c r="G42" s="112"/>
      <c r="I42" s="109">
        <v>1</v>
      </c>
      <c r="J42" s="109" t="s">
        <v>185</v>
      </c>
      <c r="K42" s="73" t="s">
        <v>204</v>
      </c>
      <c r="L42" s="73" t="s">
        <v>195</v>
      </c>
      <c r="M42" s="109">
        <v>1E-4</v>
      </c>
      <c r="N42" s="115">
        <v>1E-4</v>
      </c>
      <c r="O42" s="79">
        <f>(M42+N42)*(SUM(P42:AI42))</f>
        <v>3.2000000000000002E-3</v>
      </c>
      <c r="P42" s="123">
        <f t="shared" ref="P42:AI42" si="3">P30</f>
        <v>16</v>
      </c>
      <c r="Q42" s="123">
        <f t="shared" si="3"/>
        <v>0</v>
      </c>
      <c r="R42" s="127">
        <f t="shared" si="3"/>
        <v>0</v>
      </c>
      <c r="S42" s="125">
        <f t="shared" si="3"/>
        <v>0</v>
      </c>
      <c r="T42" s="125">
        <f t="shared" si="3"/>
        <v>0</v>
      </c>
      <c r="U42" s="127">
        <f t="shared" si="3"/>
        <v>0</v>
      </c>
      <c r="V42" s="125">
        <f t="shared" si="3"/>
        <v>0</v>
      </c>
      <c r="W42" s="125">
        <f t="shared" si="3"/>
        <v>0</v>
      </c>
      <c r="X42" s="125">
        <f t="shared" si="3"/>
        <v>0</v>
      </c>
      <c r="Y42" s="125">
        <f t="shared" si="3"/>
        <v>0</v>
      </c>
      <c r="Z42" s="127">
        <f t="shared" si="3"/>
        <v>0</v>
      </c>
      <c r="AA42" s="125">
        <f t="shared" si="3"/>
        <v>0</v>
      </c>
      <c r="AB42" s="125">
        <f t="shared" si="3"/>
        <v>0</v>
      </c>
      <c r="AC42" s="127">
        <f t="shared" si="3"/>
        <v>0</v>
      </c>
      <c r="AD42" s="125">
        <f t="shared" si="3"/>
        <v>0</v>
      </c>
      <c r="AE42" s="125">
        <f t="shared" si="3"/>
        <v>0</v>
      </c>
      <c r="AF42" s="125">
        <f t="shared" si="3"/>
        <v>0</v>
      </c>
      <c r="AG42" s="125">
        <f t="shared" si="3"/>
        <v>0</v>
      </c>
      <c r="AH42" s="127">
        <f t="shared" si="3"/>
        <v>0</v>
      </c>
      <c r="AI42" s="127">
        <f t="shared" si="3"/>
        <v>0</v>
      </c>
      <c r="AK42" s="64">
        <f>SUM(P42:AI42)</f>
        <v>16</v>
      </c>
    </row>
    <row r="43" spans="1:39" ht="14.25" customHeight="1">
      <c r="A43" s="112"/>
      <c r="B43" s="112" t="s">
        <v>256</v>
      </c>
      <c r="C43" s="75" t="s">
        <v>369</v>
      </c>
      <c r="E43" s="112"/>
      <c r="F43" s="116"/>
      <c r="G43" s="112"/>
      <c r="I43" s="109">
        <v>2</v>
      </c>
      <c r="J43" s="109" t="s">
        <v>186</v>
      </c>
      <c r="K43" s="73" t="s">
        <v>205</v>
      </c>
      <c r="L43" s="73" t="s">
        <v>195</v>
      </c>
      <c r="M43" s="109">
        <v>1E-4</v>
      </c>
      <c r="N43" s="115">
        <v>1E-4</v>
      </c>
      <c r="O43" s="79">
        <f>(M43+N43)*(SUM(P43:AI43))</f>
        <v>8.0000000000000004E-4</v>
      </c>
      <c r="P43" s="124">
        <f t="shared" ref="P43:AI43" si="4">P31</f>
        <v>4</v>
      </c>
      <c r="Q43" s="124">
        <f t="shared" si="4"/>
        <v>0</v>
      </c>
      <c r="R43" s="128">
        <f t="shared" si="4"/>
        <v>0</v>
      </c>
      <c r="S43" s="126">
        <f t="shared" si="4"/>
        <v>0</v>
      </c>
      <c r="T43" s="126">
        <f t="shared" si="4"/>
        <v>0</v>
      </c>
      <c r="U43" s="128">
        <f t="shared" si="4"/>
        <v>0</v>
      </c>
      <c r="V43" s="126">
        <f t="shared" si="4"/>
        <v>0</v>
      </c>
      <c r="W43" s="126">
        <f t="shared" si="4"/>
        <v>0</v>
      </c>
      <c r="X43" s="126">
        <f t="shared" si="4"/>
        <v>0</v>
      </c>
      <c r="Y43" s="126">
        <f t="shared" si="4"/>
        <v>0</v>
      </c>
      <c r="Z43" s="128">
        <f t="shared" si="4"/>
        <v>0</v>
      </c>
      <c r="AA43" s="126">
        <f t="shared" si="4"/>
        <v>0</v>
      </c>
      <c r="AB43" s="126">
        <f t="shared" si="4"/>
        <v>0</v>
      </c>
      <c r="AC43" s="128">
        <f t="shared" si="4"/>
        <v>0</v>
      </c>
      <c r="AD43" s="126">
        <f t="shared" si="4"/>
        <v>0</v>
      </c>
      <c r="AE43" s="126">
        <f t="shared" si="4"/>
        <v>0</v>
      </c>
      <c r="AF43" s="126">
        <f t="shared" si="4"/>
        <v>0</v>
      </c>
      <c r="AG43" s="126">
        <f t="shared" si="4"/>
        <v>0</v>
      </c>
      <c r="AH43" s="128">
        <f t="shared" si="4"/>
        <v>0</v>
      </c>
      <c r="AI43" s="128">
        <f t="shared" si="4"/>
        <v>0</v>
      </c>
      <c r="AK43" s="64">
        <f t="shared" ref="AK43:AK50" si="5">SUM(P43:AI43)</f>
        <v>4</v>
      </c>
    </row>
    <row r="44" spans="1:39" ht="14.25" customHeight="1">
      <c r="A44" s="112"/>
      <c r="B44" s="112"/>
      <c r="C44" s="75" t="s">
        <v>372</v>
      </c>
      <c r="D44" s="76"/>
      <c r="F44" s="112"/>
      <c r="G44" s="112"/>
      <c r="I44" s="109">
        <v>3</v>
      </c>
      <c r="J44" s="109" t="s">
        <v>187</v>
      </c>
      <c r="K44" s="73" t="s">
        <v>206</v>
      </c>
      <c r="L44" s="73" t="s">
        <v>195</v>
      </c>
      <c r="M44" s="109">
        <v>1E-4</v>
      </c>
      <c r="N44" s="115">
        <v>1E-4</v>
      </c>
      <c r="O44" s="79">
        <f>(M44+N44)*(SUM(P44:AI44))</f>
        <v>0.9</v>
      </c>
      <c r="P44" s="124">
        <f t="shared" ref="P44:AI44" si="6">P32</f>
        <v>900</v>
      </c>
      <c r="Q44" s="124">
        <f t="shared" si="6"/>
        <v>900</v>
      </c>
      <c r="R44" s="128">
        <f t="shared" si="6"/>
        <v>900</v>
      </c>
      <c r="S44" s="126">
        <f t="shared" si="6"/>
        <v>900</v>
      </c>
      <c r="T44" s="126">
        <f t="shared" si="6"/>
        <v>900</v>
      </c>
      <c r="U44" s="128">
        <f t="shared" si="6"/>
        <v>0</v>
      </c>
      <c r="V44" s="126">
        <f t="shared" si="6"/>
        <v>0</v>
      </c>
      <c r="W44" s="126">
        <f t="shared" si="6"/>
        <v>0</v>
      </c>
      <c r="X44" s="126">
        <f t="shared" si="6"/>
        <v>0</v>
      </c>
      <c r="Y44" s="126">
        <f t="shared" si="6"/>
        <v>0</v>
      </c>
      <c r="Z44" s="128">
        <f t="shared" si="6"/>
        <v>0</v>
      </c>
      <c r="AA44" s="126">
        <f t="shared" si="6"/>
        <v>0</v>
      </c>
      <c r="AB44" s="126">
        <f t="shared" si="6"/>
        <v>0</v>
      </c>
      <c r="AC44" s="128">
        <f t="shared" si="6"/>
        <v>0</v>
      </c>
      <c r="AD44" s="126">
        <f t="shared" si="6"/>
        <v>0</v>
      </c>
      <c r="AE44" s="126">
        <f t="shared" si="6"/>
        <v>0</v>
      </c>
      <c r="AF44" s="126">
        <f t="shared" si="6"/>
        <v>0</v>
      </c>
      <c r="AG44" s="126">
        <f t="shared" si="6"/>
        <v>0</v>
      </c>
      <c r="AH44" s="128">
        <f t="shared" si="6"/>
        <v>0</v>
      </c>
      <c r="AI44" s="128">
        <f t="shared" si="6"/>
        <v>0</v>
      </c>
      <c r="AK44" s="64">
        <f t="shared" si="5"/>
        <v>4500</v>
      </c>
    </row>
    <row r="45" spans="1:39" ht="14.25" customHeight="1">
      <c r="A45" s="112"/>
      <c r="E45" s="112"/>
      <c r="F45" s="112"/>
      <c r="G45" s="112"/>
      <c r="I45" s="109">
        <v>4</v>
      </c>
      <c r="J45" s="109" t="s">
        <v>188</v>
      </c>
      <c r="K45" s="73" t="s">
        <v>207</v>
      </c>
      <c r="L45" s="73" t="s">
        <v>195</v>
      </c>
      <c r="M45" s="109">
        <v>1E-4</v>
      </c>
      <c r="N45" s="115">
        <v>1E-4</v>
      </c>
      <c r="O45" s="79">
        <f>(M45+N45)*(SUM(P45:AI45))</f>
        <v>5.0000000000000001E-3</v>
      </c>
      <c r="P45" s="124">
        <f t="shared" ref="P45:AI45" si="7">P33</f>
        <v>25</v>
      </c>
      <c r="Q45" s="124">
        <f t="shared" si="7"/>
        <v>0</v>
      </c>
      <c r="R45" s="128">
        <f t="shared" si="7"/>
        <v>0</v>
      </c>
      <c r="S45" s="126">
        <f t="shared" si="7"/>
        <v>0</v>
      </c>
      <c r="T45" s="126">
        <f t="shared" si="7"/>
        <v>0</v>
      </c>
      <c r="U45" s="128">
        <f t="shared" si="7"/>
        <v>0</v>
      </c>
      <c r="V45" s="126">
        <f t="shared" si="7"/>
        <v>0</v>
      </c>
      <c r="W45" s="126">
        <f t="shared" si="7"/>
        <v>0</v>
      </c>
      <c r="X45" s="126">
        <f t="shared" si="7"/>
        <v>0</v>
      </c>
      <c r="Y45" s="126">
        <f t="shared" si="7"/>
        <v>0</v>
      </c>
      <c r="Z45" s="128">
        <f t="shared" si="7"/>
        <v>0</v>
      </c>
      <c r="AA45" s="126">
        <f t="shared" si="7"/>
        <v>0</v>
      </c>
      <c r="AB45" s="126">
        <f t="shared" si="7"/>
        <v>0</v>
      </c>
      <c r="AC45" s="128">
        <f t="shared" si="7"/>
        <v>0</v>
      </c>
      <c r="AD45" s="126">
        <f t="shared" si="7"/>
        <v>0</v>
      </c>
      <c r="AE45" s="126">
        <f t="shared" si="7"/>
        <v>0</v>
      </c>
      <c r="AF45" s="126">
        <f t="shared" si="7"/>
        <v>0</v>
      </c>
      <c r="AG45" s="126">
        <f t="shared" si="7"/>
        <v>0</v>
      </c>
      <c r="AH45" s="128">
        <f t="shared" si="7"/>
        <v>0</v>
      </c>
      <c r="AI45" s="128">
        <f t="shared" si="7"/>
        <v>0</v>
      </c>
      <c r="AK45" s="64">
        <f t="shared" si="5"/>
        <v>25</v>
      </c>
    </row>
    <row r="46" spans="1:39" ht="14.25" customHeight="1">
      <c r="A46" s="112"/>
      <c r="B46" s="76" t="s">
        <v>370</v>
      </c>
      <c r="C46" s="75"/>
      <c r="D46" s="76"/>
      <c r="E46" s="112"/>
      <c r="F46" s="112"/>
      <c r="G46" s="112"/>
      <c r="I46" s="109">
        <v>5</v>
      </c>
      <c r="J46" s="109" t="s">
        <v>189</v>
      </c>
      <c r="K46" s="73" t="s">
        <v>208</v>
      </c>
      <c r="L46" s="73" t="s">
        <v>195</v>
      </c>
      <c r="M46" s="109">
        <v>1E-4</v>
      </c>
      <c r="N46" s="115">
        <v>2.0000000000000001E-4</v>
      </c>
      <c r="O46" s="79">
        <f>(M46+N46)*SUM(P46:AI46)</f>
        <v>0.45000000000000007</v>
      </c>
      <c r="P46" s="124">
        <f t="shared" ref="P46:AI46" si="8">P15+P34</f>
        <v>300</v>
      </c>
      <c r="Q46" s="124">
        <f t="shared" si="8"/>
        <v>300</v>
      </c>
      <c r="R46" s="128">
        <f t="shared" si="8"/>
        <v>300</v>
      </c>
      <c r="S46" s="126">
        <f t="shared" si="8"/>
        <v>300</v>
      </c>
      <c r="T46" s="126">
        <f t="shared" si="8"/>
        <v>300</v>
      </c>
      <c r="U46" s="128">
        <f t="shared" si="8"/>
        <v>0</v>
      </c>
      <c r="V46" s="126">
        <f t="shared" si="8"/>
        <v>0</v>
      </c>
      <c r="W46" s="126">
        <f t="shared" si="8"/>
        <v>0</v>
      </c>
      <c r="X46" s="126">
        <f t="shared" si="8"/>
        <v>0</v>
      </c>
      <c r="Y46" s="126">
        <f t="shared" si="8"/>
        <v>0</v>
      </c>
      <c r="Z46" s="128">
        <f t="shared" si="8"/>
        <v>0</v>
      </c>
      <c r="AA46" s="126">
        <f t="shared" si="8"/>
        <v>0</v>
      </c>
      <c r="AB46" s="126">
        <f t="shared" si="8"/>
        <v>0</v>
      </c>
      <c r="AC46" s="128">
        <f t="shared" si="8"/>
        <v>0</v>
      </c>
      <c r="AD46" s="126">
        <f t="shared" si="8"/>
        <v>0</v>
      </c>
      <c r="AE46" s="126">
        <f t="shared" si="8"/>
        <v>0</v>
      </c>
      <c r="AF46" s="126">
        <f t="shared" si="8"/>
        <v>0</v>
      </c>
      <c r="AG46" s="126">
        <f t="shared" si="8"/>
        <v>0</v>
      </c>
      <c r="AH46" s="128">
        <f t="shared" si="8"/>
        <v>0</v>
      </c>
      <c r="AI46" s="128">
        <f t="shared" si="8"/>
        <v>0</v>
      </c>
      <c r="AK46" s="64">
        <f t="shared" si="5"/>
        <v>1500</v>
      </c>
    </row>
    <row r="47" spans="1:39" ht="14.25" customHeight="1">
      <c r="A47" s="112"/>
      <c r="B47" s="112" t="s">
        <v>256</v>
      </c>
      <c r="C47" s="112" t="s">
        <v>373</v>
      </c>
      <c r="E47" s="112"/>
      <c r="F47" s="112"/>
      <c r="G47" s="112"/>
      <c r="I47" s="109">
        <v>6</v>
      </c>
      <c r="J47" s="109" t="s">
        <v>190</v>
      </c>
      <c r="K47" s="73" t="s">
        <v>214</v>
      </c>
      <c r="L47" s="73" t="s">
        <v>195</v>
      </c>
      <c r="M47" s="114">
        <v>1E-4</v>
      </c>
      <c r="N47" s="115">
        <v>2.0000000000000001E-4</v>
      </c>
      <c r="O47" s="79">
        <f>(M47+N47)*(SUM(P47:AI47))</f>
        <v>11556.000000000002</v>
      </c>
      <c r="P47" s="124">
        <f t="shared" ref="P47:AI47" si="9">P16+P17+P18+P19+P35</f>
        <v>7704000</v>
      </c>
      <c r="Q47" s="124">
        <f t="shared" si="9"/>
        <v>7704000</v>
      </c>
      <c r="R47" s="124">
        <f t="shared" si="9"/>
        <v>7704000</v>
      </c>
      <c r="S47" s="124">
        <f t="shared" si="9"/>
        <v>7704000</v>
      </c>
      <c r="T47" s="124">
        <f t="shared" si="9"/>
        <v>7704000</v>
      </c>
      <c r="U47" s="124">
        <f t="shared" si="9"/>
        <v>0</v>
      </c>
      <c r="V47" s="124">
        <f t="shared" si="9"/>
        <v>0</v>
      </c>
      <c r="W47" s="124">
        <f t="shared" si="9"/>
        <v>0</v>
      </c>
      <c r="X47" s="124">
        <f t="shared" si="9"/>
        <v>0</v>
      </c>
      <c r="Y47" s="124">
        <f t="shared" si="9"/>
        <v>0</v>
      </c>
      <c r="Z47" s="124">
        <f t="shared" si="9"/>
        <v>0</v>
      </c>
      <c r="AA47" s="124">
        <f t="shared" si="9"/>
        <v>0</v>
      </c>
      <c r="AB47" s="124">
        <f t="shared" si="9"/>
        <v>0</v>
      </c>
      <c r="AC47" s="124">
        <f t="shared" si="9"/>
        <v>0</v>
      </c>
      <c r="AD47" s="124">
        <f t="shared" si="9"/>
        <v>0</v>
      </c>
      <c r="AE47" s="124">
        <f t="shared" si="9"/>
        <v>0</v>
      </c>
      <c r="AF47" s="124">
        <f t="shared" si="9"/>
        <v>0</v>
      </c>
      <c r="AG47" s="124">
        <f t="shared" si="9"/>
        <v>0</v>
      </c>
      <c r="AH47" s="124">
        <f t="shared" si="9"/>
        <v>0</v>
      </c>
      <c r="AI47" s="128">
        <f t="shared" si="9"/>
        <v>0</v>
      </c>
      <c r="AK47" s="64">
        <f t="shared" si="5"/>
        <v>38520000</v>
      </c>
      <c r="AM47" s="134"/>
    </row>
    <row r="48" spans="1:39" ht="14.25" customHeight="1">
      <c r="A48" s="112"/>
      <c r="B48" s="112"/>
      <c r="C48" s="112" t="s">
        <v>374</v>
      </c>
      <c r="E48" s="112"/>
      <c r="F48" s="112"/>
      <c r="G48" s="112"/>
      <c r="I48" s="109">
        <v>7</v>
      </c>
      <c r="J48" s="109" t="s">
        <v>191</v>
      </c>
      <c r="K48" s="73" t="s">
        <v>215</v>
      </c>
      <c r="L48" s="73" t="s">
        <v>195</v>
      </c>
      <c r="M48" s="109">
        <v>1E-4</v>
      </c>
      <c r="N48" s="142">
        <v>2.0000000000000001E-4</v>
      </c>
      <c r="O48" s="79">
        <f>(M48+N48)*(SUM(P48:AI48))</f>
        <v>0</v>
      </c>
      <c r="P48" s="124">
        <f t="shared" ref="P48:AI48" si="10">P20+P21+P22+P23+P36</f>
        <v>0</v>
      </c>
      <c r="Q48" s="124">
        <f t="shared" si="10"/>
        <v>0</v>
      </c>
      <c r="R48" s="124">
        <f t="shared" si="10"/>
        <v>0</v>
      </c>
      <c r="S48" s="124">
        <f t="shared" si="10"/>
        <v>0</v>
      </c>
      <c r="T48" s="124">
        <f t="shared" si="10"/>
        <v>0</v>
      </c>
      <c r="U48" s="124">
        <f t="shared" si="10"/>
        <v>0</v>
      </c>
      <c r="V48" s="124">
        <f t="shared" si="10"/>
        <v>0</v>
      </c>
      <c r="W48" s="124">
        <f t="shared" si="10"/>
        <v>0</v>
      </c>
      <c r="X48" s="124">
        <f t="shared" si="10"/>
        <v>0</v>
      </c>
      <c r="Y48" s="124">
        <f t="shared" si="10"/>
        <v>0</v>
      </c>
      <c r="Z48" s="124">
        <f t="shared" si="10"/>
        <v>0</v>
      </c>
      <c r="AA48" s="124">
        <f t="shared" si="10"/>
        <v>0</v>
      </c>
      <c r="AB48" s="124">
        <f t="shared" si="10"/>
        <v>0</v>
      </c>
      <c r="AC48" s="124">
        <f t="shared" si="10"/>
        <v>0</v>
      </c>
      <c r="AD48" s="124">
        <f t="shared" si="10"/>
        <v>0</v>
      </c>
      <c r="AE48" s="124">
        <f t="shared" si="10"/>
        <v>0</v>
      </c>
      <c r="AF48" s="124">
        <f t="shared" si="10"/>
        <v>0</v>
      </c>
      <c r="AG48" s="124">
        <f t="shared" si="10"/>
        <v>0</v>
      </c>
      <c r="AH48" s="124">
        <f t="shared" si="10"/>
        <v>0</v>
      </c>
      <c r="AI48" s="128">
        <f t="shared" si="10"/>
        <v>0</v>
      </c>
      <c r="AK48" s="64">
        <f t="shared" si="5"/>
        <v>0</v>
      </c>
    </row>
    <row r="49" spans="1:37" ht="14.25" customHeight="1">
      <c r="A49" s="112"/>
      <c r="B49" s="112"/>
      <c r="C49" s="77" t="s">
        <v>375</v>
      </c>
      <c r="D49" s="76"/>
      <c r="E49" s="112"/>
      <c r="F49" s="112"/>
      <c r="G49" s="116"/>
      <c r="I49" s="109">
        <v>8</v>
      </c>
      <c r="J49" s="109" t="s">
        <v>192</v>
      </c>
      <c r="K49" s="73" t="s">
        <v>209</v>
      </c>
      <c r="L49" s="73" t="s">
        <v>195</v>
      </c>
      <c r="M49" s="109">
        <v>1E-4</v>
      </c>
      <c r="N49" s="115">
        <v>2.0000000000000001E-4</v>
      </c>
      <c r="O49" s="79">
        <f>(M49+N49)*(SUM(P49:AI49))</f>
        <v>1080</v>
      </c>
      <c r="P49" s="124">
        <f t="shared" ref="P49:AI49" si="11">P24+P37</f>
        <v>720000</v>
      </c>
      <c r="Q49" s="124">
        <f t="shared" si="11"/>
        <v>720000</v>
      </c>
      <c r="R49" s="124">
        <f t="shared" si="11"/>
        <v>720000</v>
      </c>
      <c r="S49" s="124">
        <f t="shared" si="11"/>
        <v>720000</v>
      </c>
      <c r="T49" s="124">
        <f t="shared" si="11"/>
        <v>720000</v>
      </c>
      <c r="U49" s="124">
        <f t="shared" si="11"/>
        <v>0</v>
      </c>
      <c r="V49" s="124">
        <f t="shared" si="11"/>
        <v>0</v>
      </c>
      <c r="W49" s="124">
        <f t="shared" si="11"/>
        <v>0</v>
      </c>
      <c r="X49" s="124">
        <f t="shared" si="11"/>
        <v>0</v>
      </c>
      <c r="Y49" s="124">
        <f t="shared" si="11"/>
        <v>0</v>
      </c>
      <c r="Z49" s="124">
        <f t="shared" si="11"/>
        <v>0</v>
      </c>
      <c r="AA49" s="124">
        <f t="shared" si="11"/>
        <v>0</v>
      </c>
      <c r="AB49" s="124">
        <f t="shared" si="11"/>
        <v>0</v>
      </c>
      <c r="AC49" s="124">
        <f t="shared" si="11"/>
        <v>0</v>
      </c>
      <c r="AD49" s="124">
        <f t="shared" si="11"/>
        <v>0</v>
      </c>
      <c r="AE49" s="124">
        <f t="shared" si="11"/>
        <v>0</v>
      </c>
      <c r="AF49" s="124">
        <f t="shared" si="11"/>
        <v>0</v>
      </c>
      <c r="AG49" s="124">
        <f t="shared" si="11"/>
        <v>0</v>
      </c>
      <c r="AH49" s="124">
        <f t="shared" si="11"/>
        <v>0</v>
      </c>
      <c r="AI49" s="128">
        <f t="shared" si="11"/>
        <v>0</v>
      </c>
      <c r="AK49" s="64">
        <f t="shared" si="5"/>
        <v>3600000</v>
      </c>
    </row>
    <row r="50" spans="1:37" ht="14.25" customHeight="1">
      <c r="A50" s="112"/>
      <c r="B50" s="112"/>
      <c r="C50" s="77" t="s">
        <v>376</v>
      </c>
      <c r="D50" s="76"/>
      <c r="E50" s="112"/>
      <c r="F50" s="112"/>
      <c r="G50" s="116"/>
      <c r="I50" s="109">
        <v>10</v>
      </c>
      <c r="J50" s="109" t="s">
        <v>193</v>
      </c>
      <c r="K50" s="73" t="s">
        <v>210</v>
      </c>
      <c r="L50" s="73" t="s">
        <v>195</v>
      </c>
      <c r="M50" s="109">
        <v>1E-4</v>
      </c>
      <c r="N50" s="115">
        <v>2.0000000000000001E-4</v>
      </c>
      <c r="O50" s="79">
        <f>(M50+N50)*(SUM(P50:AI50))*IF(D7=1,1,1.1)</f>
        <v>13899.600000000002</v>
      </c>
      <c r="P50" s="124">
        <f t="shared" ref="P50:AI50" si="12">(P47+P48+P49)+(P47+P48+P49)*0.5*(P30/16)</f>
        <v>12636000</v>
      </c>
      <c r="Q50" s="124">
        <f t="shared" si="12"/>
        <v>8424000</v>
      </c>
      <c r="R50" s="128">
        <f t="shared" si="12"/>
        <v>8424000</v>
      </c>
      <c r="S50" s="126">
        <f t="shared" si="12"/>
        <v>8424000</v>
      </c>
      <c r="T50" s="126">
        <f t="shared" si="12"/>
        <v>8424000</v>
      </c>
      <c r="U50" s="128">
        <f t="shared" si="12"/>
        <v>0</v>
      </c>
      <c r="V50" s="126">
        <f t="shared" si="12"/>
        <v>0</v>
      </c>
      <c r="W50" s="126">
        <f t="shared" si="12"/>
        <v>0</v>
      </c>
      <c r="X50" s="126">
        <f t="shared" si="12"/>
        <v>0</v>
      </c>
      <c r="Y50" s="126">
        <f t="shared" si="12"/>
        <v>0</v>
      </c>
      <c r="Z50" s="128">
        <f t="shared" si="12"/>
        <v>0</v>
      </c>
      <c r="AA50" s="126">
        <f t="shared" si="12"/>
        <v>0</v>
      </c>
      <c r="AB50" s="126">
        <f t="shared" si="12"/>
        <v>0</v>
      </c>
      <c r="AC50" s="128">
        <f t="shared" si="12"/>
        <v>0</v>
      </c>
      <c r="AD50" s="126">
        <f t="shared" si="12"/>
        <v>0</v>
      </c>
      <c r="AE50" s="126">
        <f t="shared" si="12"/>
        <v>0</v>
      </c>
      <c r="AF50" s="126">
        <f t="shared" si="12"/>
        <v>0</v>
      </c>
      <c r="AG50" s="126">
        <f t="shared" si="12"/>
        <v>0</v>
      </c>
      <c r="AH50" s="128">
        <f t="shared" si="12"/>
        <v>0</v>
      </c>
      <c r="AI50" s="128">
        <f t="shared" si="12"/>
        <v>0</v>
      </c>
      <c r="AK50" s="64">
        <f t="shared" si="5"/>
        <v>46332000</v>
      </c>
    </row>
    <row r="51" spans="1:37" ht="14.25" customHeight="1">
      <c r="A51" s="112"/>
      <c r="C51" s="146" t="s">
        <v>377</v>
      </c>
      <c r="E51" s="112"/>
      <c r="F51" s="112"/>
      <c r="G51" s="112"/>
      <c r="I51" s="109">
        <v>11</v>
      </c>
      <c r="J51" s="109" t="s">
        <v>194</v>
      </c>
      <c r="K51" s="73" t="s">
        <v>213</v>
      </c>
      <c r="L51" s="73" t="s">
        <v>195</v>
      </c>
      <c r="M51" s="109">
        <v>1E-4</v>
      </c>
      <c r="N51" s="115">
        <v>2.0000000000000001E-4</v>
      </c>
      <c r="O51" s="79">
        <f>(M51+N51)*(SUM(P51:AI51))</f>
        <v>379.08000000000004</v>
      </c>
      <c r="P51" s="152">
        <f t="shared" ref="P51:AI51" si="13">P50*0.1*(P31/4)</f>
        <v>1263600</v>
      </c>
      <c r="Q51" s="152">
        <f t="shared" si="13"/>
        <v>0</v>
      </c>
      <c r="R51" s="153">
        <f t="shared" si="13"/>
        <v>0</v>
      </c>
      <c r="S51" s="154">
        <f t="shared" si="13"/>
        <v>0</v>
      </c>
      <c r="T51" s="154">
        <f t="shared" si="13"/>
        <v>0</v>
      </c>
      <c r="U51" s="153">
        <f t="shared" si="13"/>
        <v>0</v>
      </c>
      <c r="V51" s="154">
        <f t="shared" si="13"/>
        <v>0</v>
      </c>
      <c r="W51" s="154">
        <f t="shared" si="13"/>
        <v>0</v>
      </c>
      <c r="X51" s="154">
        <f t="shared" si="13"/>
        <v>0</v>
      </c>
      <c r="Y51" s="154">
        <f t="shared" si="13"/>
        <v>0</v>
      </c>
      <c r="Z51" s="153">
        <f t="shared" si="13"/>
        <v>0</v>
      </c>
      <c r="AA51" s="154">
        <f t="shared" si="13"/>
        <v>0</v>
      </c>
      <c r="AB51" s="154">
        <f t="shared" si="13"/>
        <v>0</v>
      </c>
      <c r="AC51" s="153">
        <f t="shared" si="13"/>
        <v>0</v>
      </c>
      <c r="AD51" s="154">
        <f t="shared" si="13"/>
        <v>0</v>
      </c>
      <c r="AE51" s="154">
        <f t="shared" si="13"/>
        <v>0</v>
      </c>
      <c r="AF51" s="154">
        <f t="shared" si="13"/>
        <v>0</v>
      </c>
      <c r="AG51" s="154">
        <f t="shared" si="13"/>
        <v>0</v>
      </c>
      <c r="AH51" s="153">
        <f t="shared" si="13"/>
        <v>0</v>
      </c>
      <c r="AI51" s="153">
        <f t="shared" si="13"/>
        <v>0</v>
      </c>
      <c r="AK51" s="64">
        <f>SUM(P51:AI51)</f>
        <v>1263600</v>
      </c>
    </row>
    <row r="52" spans="1:37" ht="14.25" customHeight="1" thickBot="1">
      <c r="A52" s="112"/>
      <c r="C52" s="146" t="s">
        <v>378</v>
      </c>
      <c r="E52" s="112"/>
      <c r="F52" s="112"/>
      <c r="G52" s="112"/>
      <c r="I52" s="109">
        <v>12</v>
      </c>
      <c r="J52" s="109" t="s">
        <v>401</v>
      </c>
      <c r="K52" s="73" t="s">
        <v>402</v>
      </c>
      <c r="L52" s="73" t="s">
        <v>195</v>
      </c>
      <c r="M52" s="109">
        <v>1E-4</v>
      </c>
      <c r="N52" s="115">
        <v>1E-4</v>
      </c>
      <c r="O52" s="79">
        <f>(M52+N52)*(AK26+(SUM(P52:AI52)))</f>
        <v>7.2000000000000008E-2</v>
      </c>
      <c r="P52" s="129">
        <f>P38</f>
        <v>0</v>
      </c>
      <c r="Q52" s="129">
        <f t="shared" ref="Q52:AI52" si="14">Q38</f>
        <v>0</v>
      </c>
      <c r="R52" s="129">
        <f t="shared" si="14"/>
        <v>0</v>
      </c>
      <c r="S52" s="129">
        <f t="shared" si="14"/>
        <v>0</v>
      </c>
      <c r="T52" s="129">
        <f t="shared" si="14"/>
        <v>0</v>
      </c>
      <c r="U52" s="129">
        <f t="shared" si="14"/>
        <v>0</v>
      </c>
      <c r="V52" s="129">
        <f t="shared" si="14"/>
        <v>0</v>
      </c>
      <c r="W52" s="129">
        <f t="shared" si="14"/>
        <v>0</v>
      </c>
      <c r="X52" s="129">
        <f t="shared" si="14"/>
        <v>0</v>
      </c>
      <c r="Y52" s="129">
        <f t="shared" si="14"/>
        <v>0</v>
      </c>
      <c r="Z52" s="129">
        <f t="shared" si="14"/>
        <v>0</v>
      </c>
      <c r="AA52" s="129">
        <f t="shared" si="14"/>
        <v>0</v>
      </c>
      <c r="AB52" s="129">
        <f t="shared" si="14"/>
        <v>0</v>
      </c>
      <c r="AC52" s="129">
        <f t="shared" si="14"/>
        <v>0</v>
      </c>
      <c r="AD52" s="129">
        <f t="shared" si="14"/>
        <v>0</v>
      </c>
      <c r="AE52" s="129">
        <f t="shared" si="14"/>
        <v>0</v>
      </c>
      <c r="AF52" s="129">
        <f t="shared" si="14"/>
        <v>0</v>
      </c>
      <c r="AG52" s="129">
        <f t="shared" si="14"/>
        <v>0</v>
      </c>
      <c r="AH52" s="129">
        <f t="shared" si="14"/>
        <v>0</v>
      </c>
      <c r="AI52" s="129">
        <f t="shared" si="14"/>
        <v>0</v>
      </c>
      <c r="AK52" s="64">
        <f>SUM(P52:AI52)</f>
        <v>0</v>
      </c>
    </row>
    <row r="53" spans="1:37" ht="14.25" customHeight="1">
      <c r="A53" s="112"/>
      <c r="E53" s="112"/>
      <c r="F53" s="112"/>
      <c r="G53" s="112"/>
      <c r="I53" s="109">
        <v>13</v>
      </c>
      <c r="J53" s="109" t="s">
        <v>196</v>
      </c>
      <c r="K53" s="73" t="s">
        <v>197</v>
      </c>
      <c r="L53" s="73" t="s">
        <v>195</v>
      </c>
      <c r="M53" s="109">
        <v>1E-4</v>
      </c>
      <c r="N53" s="115">
        <v>1E-4</v>
      </c>
      <c r="O53" s="66">
        <f>(M53+N53)*P53</f>
        <v>2.0000000000000001E-4</v>
      </c>
      <c r="P53" s="355">
        <v>1</v>
      </c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7"/>
    </row>
    <row r="54" spans="1:37" ht="14.25" customHeight="1">
      <c r="A54" s="112"/>
      <c r="B54" s="112"/>
      <c r="C54" s="112"/>
      <c r="D54" s="112"/>
      <c r="E54" s="112"/>
      <c r="F54" s="112"/>
      <c r="G54" s="112"/>
      <c r="I54" s="109">
        <v>14</v>
      </c>
      <c r="J54" s="109" t="s">
        <v>198</v>
      </c>
      <c r="K54" s="73" t="s">
        <v>199</v>
      </c>
      <c r="L54" s="73" t="s">
        <v>195</v>
      </c>
      <c r="M54" s="109">
        <v>1E-4</v>
      </c>
      <c r="N54" s="115">
        <v>1E-4</v>
      </c>
      <c r="O54" s="66">
        <f>(M54+N54)*(SUM(P54:AI54))</f>
        <v>2.0000000000000001E-4</v>
      </c>
      <c r="P54" s="353">
        <v>1</v>
      </c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AG54" s="353"/>
      <c r="AH54" s="353"/>
      <c r="AI54" s="354"/>
    </row>
    <row r="55" spans="1:37" ht="14.25" customHeight="1">
      <c r="A55" s="112"/>
      <c r="B55" s="112"/>
      <c r="C55" s="112"/>
      <c r="D55" s="112"/>
      <c r="E55" s="112"/>
      <c r="F55" s="112"/>
      <c r="G55" s="112"/>
      <c r="I55" s="109">
        <v>15</v>
      </c>
      <c r="J55" s="109" t="s">
        <v>200</v>
      </c>
      <c r="K55" s="73" t="s">
        <v>201</v>
      </c>
      <c r="L55" s="73" t="s">
        <v>195</v>
      </c>
      <c r="M55" s="109">
        <v>1E-4</v>
      </c>
      <c r="N55" s="115">
        <v>1E-4</v>
      </c>
      <c r="O55" s="66">
        <f>(M55+N55)*(SUM(P55:AI55))</f>
        <v>2.0000000000000001E-4</v>
      </c>
      <c r="P55" s="353">
        <v>1</v>
      </c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3"/>
      <c r="AH55" s="353"/>
      <c r="AI55" s="354"/>
    </row>
    <row r="56" spans="1:37" ht="14.25" customHeight="1">
      <c r="A56" s="112"/>
      <c r="B56" s="112"/>
      <c r="C56" s="112"/>
      <c r="D56" s="112"/>
      <c r="E56" s="112"/>
      <c r="F56" s="112"/>
      <c r="G56" s="112"/>
      <c r="I56" s="109">
        <v>16</v>
      </c>
      <c r="J56" s="109" t="s">
        <v>202</v>
      </c>
      <c r="K56" s="73" t="s">
        <v>203</v>
      </c>
      <c r="L56" s="73" t="s">
        <v>195</v>
      </c>
      <c r="M56" s="109">
        <v>1E-4</v>
      </c>
      <c r="N56" s="115">
        <v>1E-4</v>
      </c>
      <c r="O56" s="66">
        <f>(M56+N56)*P56*365*D10</f>
        <v>35.04</v>
      </c>
      <c r="P56" s="353">
        <v>160</v>
      </c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3"/>
      <c r="AG56" s="353"/>
      <c r="AH56" s="353"/>
      <c r="AI56" s="354"/>
    </row>
    <row r="57" spans="1:37" ht="14.25" customHeight="1">
      <c r="A57" s="112"/>
      <c r="B57" s="112"/>
      <c r="C57" s="112"/>
      <c r="D57" s="112"/>
      <c r="E57" s="112"/>
      <c r="F57" s="112"/>
      <c r="G57" s="112"/>
      <c r="I57" s="109">
        <v>17</v>
      </c>
      <c r="J57" s="109" t="s">
        <v>468</v>
      </c>
      <c r="K57" s="73" t="s">
        <v>469</v>
      </c>
      <c r="L57" s="73" t="s">
        <v>195</v>
      </c>
      <c r="M57" s="109">
        <v>1E-4</v>
      </c>
      <c r="N57" s="115">
        <v>1E-4</v>
      </c>
      <c r="O57" s="66">
        <f>(M57+N57)*P57*365*D11</f>
        <v>0</v>
      </c>
      <c r="P57" s="353">
        <v>160</v>
      </c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  <c r="AI57" s="354"/>
    </row>
    <row r="58" spans="1:37" ht="14.25" customHeight="1">
      <c r="A58" s="112"/>
      <c r="B58" s="112"/>
      <c r="C58" s="112"/>
      <c r="D58" s="112"/>
      <c r="E58" s="112"/>
      <c r="F58" s="112"/>
      <c r="G58" s="112"/>
      <c r="O58" s="66">
        <f>SUM(O42:O57)</f>
        <v>26951.151600000001</v>
      </c>
    </row>
    <row r="59" spans="1:37" ht="14.25" customHeight="1">
      <c r="A59" s="112"/>
      <c r="B59" s="112"/>
      <c r="C59" s="112"/>
      <c r="D59" s="112"/>
      <c r="E59" s="112"/>
      <c r="F59" s="112"/>
      <c r="G59" s="112"/>
      <c r="O59" s="85"/>
    </row>
    <row r="60" spans="1:37" ht="14.25" customHeight="1">
      <c r="A60" s="112"/>
      <c r="B60" s="112"/>
      <c r="C60" s="112"/>
      <c r="D60" s="112"/>
      <c r="E60" s="112"/>
      <c r="F60" s="112"/>
      <c r="G60" s="112"/>
      <c r="O60" s="85"/>
    </row>
    <row r="61" spans="1:37" ht="14.25" customHeight="1">
      <c r="A61" s="112"/>
      <c r="B61" s="112"/>
      <c r="C61" s="112"/>
      <c r="D61" s="112"/>
      <c r="E61" s="112"/>
      <c r="F61" s="112"/>
      <c r="G61" s="112"/>
      <c r="I61" s="112" t="s">
        <v>232</v>
      </c>
      <c r="J61" s="113" t="s">
        <v>344</v>
      </c>
    </row>
    <row r="62" spans="1:37" ht="14.25" customHeight="1">
      <c r="A62" s="112"/>
      <c r="B62" s="112"/>
      <c r="C62" s="112"/>
      <c r="D62" s="112"/>
      <c r="E62" s="112"/>
      <c r="F62" s="112"/>
      <c r="G62" s="112"/>
      <c r="I62" s="112" t="s">
        <v>233</v>
      </c>
      <c r="J62" s="113" t="s">
        <v>359</v>
      </c>
    </row>
    <row r="63" spans="1:37" ht="14.25" customHeight="1">
      <c r="A63" s="112"/>
      <c r="B63" s="112"/>
      <c r="C63" s="112"/>
      <c r="D63" s="112"/>
      <c r="E63" s="112"/>
      <c r="F63" s="112"/>
      <c r="G63" s="112"/>
      <c r="I63" s="112" t="s">
        <v>243</v>
      </c>
      <c r="J63" s="113" t="s">
        <v>359</v>
      </c>
    </row>
    <row r="64" spans="1:37" ht="14.25" customHeight="1">
      <c r="A64" s="112"/>
      <c r="B64" s="112"/>
      <c r="C64" s="112"/>
      <c r="D64" s="112"/>
      <c r="E64" s="112"/>
      <c r="F64" s="112"/>
      <c r="G64" s="112"/>
      <c r="I64" s="77" t="s">
        <v>244</v>
      </c>
      <c r="J64" s="138" t="s">
        <v>360</v>
      </c>
      <c r="K64" s="131"/>
      <c r="L64" s="131"/>
      <c r="M64" s="131"/>
      <c r="N64" s="131"/>
    </row>
    <row r="65" spans="1:10" ht="14.25" customHeight="1">
      <c r="A65" s="112"/>
      <c r="B65" s="112"/>
      <c r="C65" s="112"/>
      <c r="D65" s="112"/>
      <c r="E65" s="112"/>
      <c r="F65" s="112"/>
      <c r="G65" s="112"/>
      <c r="I65" s="112" t="s">
        <v>230</v>
      </c>
      <c r="J65" s="138" t="s">
        <v>360</v>
      </c>
    </row>
    <row r="66" spans="1:10" ht="14.25" customHeight="1">
      <c r="A66" s="112"/>
      <c r="B66" s="112"/>
      <c r="C66" s="112"/>
      <c r="D66" s="112"/>
      <c r="E66" s="112"/>
      <c r="F66" s="112"/>
      <c r="G66" s="112"/>
      <c r="I66" s="112" t="s">
        <v>245</v>
      </c>
      <c r="J66" s="113" t="s">
        <v>356</v>
      </c>
    </row>
    <row r="67" spans="1:10" ht="14.25" customHeight="1">
      <c r="A67" s="112"/>
      <c r="B67" s="112"/>
      <c r="C67" s="112"/>
      <c r="D67" s="112"/>
      <c r="E67" s="112"/>
      <c r="F67" s="112"/>
      <c r="G67" s="112"/>
      <c r="I67" s="112" t="s">
        <v>350</v>
      </c>
      <c r="J67" s="113" t="s">
        <v>356</v>
      </c>
    </row>
    <row r="68" spans="1:10" ht="14.25" customHeight="1">
      <c r="A68" s="112"/>
      <c r="B68" s="112"/>
      <c r="C68" s="112"/>
      <c r="D68" s="112"/>
      <c r="E68" s="112"/>
      <c r="F68" s="112"/>
      <c r="G68" s="112"/>
      <c r="I68" s="77" t="s">
        <v>247</v>
      </c>
      <c r="J68" s="113" t="s">
        <v>356</v>
      </c>
    </row>
    <row r="69" spans="1:10" ht="14.25" customHeight="1">
      <c r="I69" s="113" t="s">
        <v>351</v>
      </c>
      <c r="J69" s="113" t="s">
        <v>356</v>
      </c>
    </row>
    <row r="70" spans="1:10" ht="14.25" customHeight="1">
      <c r="I70" s="112" t="s">
        <v>353</v>
      </c>
      <c r="J70" s="113" t="s">
        <v>361</v>
      </c>
    </row>
    <row r="71" spans="1:10" ht="14.25" customHeight="1">
      <c r="I71" s="112" t="s">
        <v>358</v>
      </c>
      <c r="J71" s="113" t="s">
        <v>362</v>
      </c>
    </row>
    <row r="72" spans="1:10" ht="14.25" customHeight="1">
      <c r="I72" s="113" t="s">
        <v>364</v>
      </c>
      <c r="J72" s="113" t="s">
        <v>398</v>
      </c>
    </row>
    <row r="73" spans="1:10" ht="14.25" customHeight="1">
      <c r="I73" s="112" t="s">
        <v>365</v>
      </c>
      <c r="J73" s="113" t="s">
        <v>363</v>
      </c>
    </row>
    <row r="74" spans="1:10" ht="14.25" customHeight="1">
      <c r="I74" s="113" t="s">
        <v>397</v>
      </c>
      <c r="J74" s="138" t="s">
        <v>366</v>
      </c>
    </row>
  </sheetData>
  <mergeCells count="5">
    <mergeCell ref="P57:AI57"/>
    <mergeCell ref="P53:AI53"/>
    <mergeCell ref="P54:AI54"/>
    <mergeCell ref="P55:AI55"/>
    <mergeCell ref="P56:AI56"/>
  </mergeCells>
  <phoneticPr fontId="8"/>
  <dataValidations count="1">
    <dataValidation type="whole" allowBlank="1" showInputMessage="1" showErrorMessage="1" error="1か2を入力して下さい。" sqref="D7" xr:uid="{00000000-0002-0000-0100-000000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82"/>
  <sheetViews>
    <sheetView showGridLines="0" topLeftCell="A10" zoomScaleNormal="100" zoomScaleSheetLayoutView="100" workbookViewId="0">
      <selection activeCell="A10" sqref="A10"/>
    </sheetView>
  </sheetViews>
  <sheetFormatPr defaultColWidth="9" defaultRowHeight="15"/>
  <cols>
    <col min="1" max="4" width="3.21875" style="188" customWidth="1"/>
    <col min="5" max="5" width="9.88671875" style="188" bestFit="1" customWidth="1"/>
    <col min="6" max="6" width="10.88671875" style="188" bestFit="1" customWidth="1"/>
    <col min="7" max="7" width="10.109375" style="188" bestFit="1" customWidth="1"/>
    <col min="8" max="9" width="9" style="190"/>
    <col min="10" max="10" width="10.109375" style="190" bestFit="1" customWidth="1"/>
    <col min="11" max="12" width="9" style="190"/>
    <col min="13" max="13" width="10.109375" style="190" bestFit="1" customWidth="1"/>
    <col min="14" max="15" width="9" style="190"/>
    <col min="16" max="16" width="10.109375" style="190" bestFit="1" customWidth="1"/>
    <col min="17" max="17" width="9" style="190"/>
    <col min="18" max="18" width="9" style="190" customWidth="1"/>
    <col min="19" max="19" width="10.109375" style="190" bestFit="1" customWidth="1"/>
    <col min="20" max="21" width="9" style="190"/>
    <col min="22" max="23" width="9.88671875" style="188" customWidth="1"/>
    <col min="24" max="24" width="3.33203125" style="188" customWidth="1"/>
    <col min="25" max="16384" width="9" style="188"/>
  </cols>
  <sheetData>
    <row r="1" spans="2:24" s="229" customFormat="1" hidden="1">
      <c r="E1" s="229" t="s">
        <v>440</v>
      </c>
      <c r="F1" s="229" t="s">
        <v>456</v>
      </c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</row>
    <row r="2" spans="2:24" hidden="1">
      <c r="E2" s="192"/>
    </row>
    <row r="3" spans="2:24" hidden="1">
      <c r="E3" s="188" t="s">
        <v>438</v>
      </c>
      <c r="F3" s="188" t="s">
        <v>454</v>
      </c>
    </row>
    <row r="4" spans="2:24" hidden="1">
      <c r="E4" s="188" t="s">
        <v>439</v>
      </c>
      <c r="F4" s="188" t="s">
        <v>455</v>
      </c>
    </row>
    <row r="5" spans="2:24" hidden="1"/>
    <row r="6" spans="2:24" hidden="1"/>
    <row r="7" spans="2:24" hidden="1"/>
    <row r="8" spans="2:24" hidden="1"/>
    <row r="9" spans="2:24" hidden="1"/>
    <row r="10" spans="2:24" ht="15.6" thickBot="1"/>
    <row r="11" spans="2:24">
      <c r="B11" s="257"/>
      <c r="C11" s="258"/>
      <c r="D11" s="258"/>
      <c r="E11" s="258"/>
      <c r="F11" s="258"/>
      <c r="G11" s="258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8"/>
      <c r="W11" s="258"/>
      <c r="X11" s="260"/>
    </row>
    <row r="12" spans="2:24" ht="24.6">
      <c r="B12" s="261"/>
      <c r="C12" s="275" t="str">
        <f>T('NXグループ経営管理(DBサーバ)'!$C2)</f>
        <v>SuperStream-NX グループ経営管理2026-06-01版 (Ver.2.9.0)</v>
      </c>
      <c r="X12" s="262"/>
    </row>
    <row r="13" spans="2:24" ht="28.8">
      <c r="B13" s="261"/>
      <c r="C13" s="155" t="s">
        <v>261</v>
      </c>
      <c r="X13" s="262"/>
    </row>
    <row r="14" spans="2:24" ht="15.6" thickBot="1">
      <c r="B14" s="261"/>
      <c r="X14" s="262"/>
    </row>
    <row r="15" spans="2:24" ht="35.25" customHeight="1" thickBot="1">
      <c r="B15" s="261"/>
      <c r="E15" s="362" t="s">
        <v>180</v>
      </c>
      <c r="F15" s="363"/>
      <c r="G15" s="360">
        <f>IF($M25="する",SUM(V20:W24)*2,SUM(V20:W24))</f>
        <v>52.319999999999993</v>
      </c>
      <c r="H15" s="361"/>
      <c r="I15" s="256" t="s">
        <v>234</v>
      </c>
      <c r="Q15" s="276"/>
      <c r="R15" s="190" t="s">
        <v>464</v>
      </c>
      <c r="X15" s="262"/>
    </row>
    <row r="16" spans="2:24">
      <c r="B16" s="261"/>
      <c r="X16" s="262"/>
    </row>
    <row r="17" spans="2:24">
      <c r="B17" s="261"/>
      <c r="X17" s="262"/>
    </row>
    <row r="18" spans="2:24" ht="24.6">
      <c r="B18" s="261"/>
      <c r="C18" s="263" t="s">
        <v>457</v>
      </c>
      <c r="X18" s="262"/>
    </row>
    <row r="19" spans="2:24" ht="24.6">
      <c r="B19" s="261"/>
      <c r="C19" s="263"/>
      <c r="E19" s="387" t="s">
        <v>460</v>
      </c>
      <c r="F19" s="387"/>
      <c r="G19" s="387"/>
      <c r="H19" s="387"/>
      <c r="I19" s="387"/>
      <c r="J19" s="387"/>
      <c r="K19" s="387"/>
      <c r="L19" s="387"/>
      <c r="M19" s="246" t="s">
        <v>459</v>
      </c>
      <c r="O19" s="188"/>
      <c r="P19" s="371" t="s">
        <v>461</v>
      </c>
      <c r="Q19" s="371"/>
      <c r="R19" s="371" t="s">
        <v>445</v>
      </c>
      <c r="S19" s="371"/>
      <c r="T19" s="371" t="s">
        <v>446</v>
      </c>
      <c r="U19" s="371"/>
      <c r="V19" s="247" t="s">
        <v>444</v>
      </c>
      <c r="W19" s="247" t="s">
        <v>462</v>
      </c>
      <c r="X19" s="262"/>
    </row>
    <row r="20" spans="2:24" ht="20.25" customHeight="1">
      <c r="B20" s="261"/>
      <c r="E20" s="231" t="s">
        <v>451</v>
      </c>
      <c r="F20" s="232"/>
      <c r="G20" s="232"/>
      <c r="H20" s="233"/>
      <c r="I20" s="233"/>
      <c r="J20" s="233"/>
      <c r="K20" s="233"/>
      <c r="L20" s="234"/>
      <c r="M20" s="243" t="s">
        <v>447</v>
      </c>
      <c r="O20" s="188"/>
      <c r="P20" s="370">
        <v>8</v>
      </c>
      <c r="Q20" s="370"/>
      <c r="R20" s="370">
        <v>9</v>
      </c>
      <c r="S20" s="370"/>
      <c r="T20" s="370">
        <v>1.5</v>
      </c>
      <c r="U20" s="370"/>
      <c r="V20" s="308">
        <f>$R20+$T20</f>
        <v>10.5</v>
      </c>
      <c r="W20" s="308">
        <f>IF($M20="する",$P20,0)</f>
        <v>8</v>
      </c>
      <c r="X20" s="262"/>
    </row>
    <row r="21" spans="2:24" ht="20.25" customHeight="1">
      <c r="B21" s="261"/>
      <c r="E21" s="235" t="s">
        <v>450</v>
      </c>
      <c r="F21" s="236"/>
      <c r="G21" s="236"/>
      <c r="H21" s="237"/>
      <c r="I21" s="237"/>
      <c r="J21" s="237"/>
      <c r="K21" s="237"/>
      <c r="L21" s="238"/>
      <c r="M21" s="244" t="s">
        <v>447</v>
      </c>
      <c r="O21" s="188"/>
      <c r="P21" s="367"/>
      <c r="Q21" s="367"/>
      <c r="R21" s="367"/>
      <c r="S21" s="367"/>
      <c r="T21" s="367">
        <v>5.5</v>
      </c>
      <c r="U21" s="367"/>
      <c r="V21" s="309">
        <f>IF($M21="する",$T21,0)</f>
        <v>5.5</v>
      </c>
      <c r="W21" s="309"/>
      <c r="X21" s="262"/>
    </row>
    <row r="22" spans="2:24" ht="20.25" customHeight="1">
      <c r="B22" s="261"/>
      <c r="E22" s="235" t="s">
        <v>452</v>
      </c>
      <c r="F22" s="236"/>
      <c r="G22" s="236"/>
      <c r="H22" s="237"/>
      <c r="I22" s="237"/>
      <c r="J22" s="237"/>
      <c r="K22" s="237"/>
      <c r="L22" s="238"/>
      <c r="M22" s="244" t="s">
        <v>448</v>
      </c>
      <c r="O22" s="188"/>
      <c r="P22" s="367">
        <f>SUM($W35:$W39)+SUM($W42:$W44)+SUM($W47:$W49)+SUM($W52:$W54)+SUM($W57:$W59)+SUM($W62:$W64)+$W69+$W74+$W80</f>
        <v>0</v>
      </c>
      <c r="Q22" s="367"/>
      <c r="R22" s="367">
        <f>SUM($V35:$V39)+SUM($V42:$V44)+SUM($V47:$V49)+SUM($V52:$V54)+SUM($V57:$V59)+SUM($V62:$V64)+$V69+$V74+$V80</f>
        <v>0</v>
      </c>
      <c r="S22" s="367"/>
      <c r="T22" s="367"/>
      <c r="U22" s="367"/>
      <c r="V22" s="309">
        <f>$R22</f>
        <v>0</v>
      </c>
      <c r="W22" s="308">
        <f>IF($M22="する",$P22,0)</f>
        <v>0</v>
      </c>
      <c r="X22" s="262"/>
    </row>
    <row r="23" spans="2:24" ht="20.25" customHeight="1">
      <c r="B23" s="261"/>
      <c r="E23" s="235" t="s">
        <v>458</v>
      </c>
      <c r="F23" s="236"/>
      <c r="G23" s="236"/>
      <c r="H23" s="237"/>
      <c r="I23" s="237"/>
      <c r="J23" s="237"/>
      <c r="K23" s="237"/>
      <c r="L23" s="238"/>
      <c r="M23" s="244" t="s">
        <v>447</v>
      </c>
      <c r="O23" s="188"/>
      <c r="P23" s="367">
        <v>0.15</v>
      </c>
      <c r="Q23" s="367"/>
      <c r="R23" s="367">
        <v>0.45</v>
      </c>
      <c r="S23" s="367"/>
      <c r="T23" s="367">
        <v>0.5</v>
      </c>
      <c r="U23" s="367"/>
      <c r="V23" s="309">
        <f>IF($M23="する",$R23+$T23,0)</f>
        <v>0.95</v>
      </c>
      <c r="W23" s="309">
        <f>IF($M23="する",IF($M20="する",$P23,0),0)</f>
        <v>0.15</v>
      </c>
      <c r="X23" s="262"/>
    </row>
    <row r="24" spans="2:24" ht="20.25" customHeight="1">
      <c r="B24" s="261"/>
      <c r="E24" s="235" t="s">
        <v>449</v>
      </c>
      <c r="F24" s="236"/>
      <c r="G24" s="236"/>
      <c r="H24" s="237"/>
      <c r="I24" s="237"/>
      <c r="J24" s="237"/>
      <c r="K24" s="237"/>
      <c r="L24" s="238"/>
      <c r="M24" s="244" t="s">
        <v>447</v>
      </c>
      <c r="O24" s="188"/>
      <c r="P24" s="367"/>
      <c r="Q24" s="367"/>
      <c r="R24" s="367">
        <v>0.56000000000000005</v>
      </c>
      <c r="S24" s="367"/>
      <c r="T24" s="367">
        <v>0.5</v>
      </c>
      <c r="U24" s="367"/>
      <c r="V24" s="309">
        <f>IF($M24="する",$R24+$T24,0)</f>
        <v>1.06</v>
      </c>
      <c r="W24" s="309"/>
      <c r="X24" s="262"/>
    </row>
    <row r="25" spans="2:24" ht="20.25" customHeight="1">
      <c r="B25" s="261"/>
      <c r="E25" s="239" t="s">
        <v>453</v>
      </c>
      <c r="F25" s="240"/>
      <c r="G25" s="240"/>
      <c r="H25" s="241"/>
      <c r="I25" s="241"/>
      <c r="J25" s="241"/>
      <c r="K25" s="241"/>
      <c r="L25" s="242"/>
      <c r="M25" s="245" t="s">
        <v>447</v>
      </c>
      <c r="O25" s="188"/>
      <c r="P25" s="367"/>
      <c r="Q25" s="367"/>
      <c r="R25" s="367"/>
      <c r="S25" s="367"/>
      <c r="T25" s="367"/>
      <c r="U25" s="367"/>
      <c r="V25" s="309"/>
      <c r="W25" s="309"/>
      <c r="X25" s="262"/>
    </row>
    <row r="26" spans="2:24">
      <c r="B26" s="261"/>
      <c r="X26" s="262"/>
    </row>
    <row r="27" spans="2:24" ht="24.6">
      <c r="B27" s="261"/>
      <c r="C27" s="263" t="s">
        <v>463</v>
      </c>
      <c r="O27" s="188"/>
      <c r="P27" s="188"/>
      <c r="Q27" s="188"/>
      <c r="R27" s="188"/>
      <c r="S27" s="188"/>
      <c r="T27" s="188"/>
      <c r="X27" s="262"/>
    </row>
    <row r="28" spans="2:24">
      <c r="B28" s="261"/>
      <c r="X28" s="262"/>
    </row>
    <row r="29" spans="2:24" ht="25.2" thickBot="1">
      <c r="B29" s="261"/>
      <c r="D29" s="263" t="s">
        <v>416</v>
      </c>
      <c r="E29" s="263"/>
      <c r="X29" s="262"/>
    </row>
    <row r="30" spans="2:24" ht="21.75" customHeight="1">
      <c r="B30" s="261"/>
      <c r="G30" s="386" t="s">
        <v>380</v>
      </c>
      <c r="H30" s="386"/>
      <c r="I30" s="386"/>
      <c r="J30" s="369" t="s">
        <v>381</v>
      </c>
      <c r="K30" s="369"/>
      <c r="L30" s="369"/>
      <c r="M30" s="369" t="s">
        <v>382</v>
      </c>
      <c r="N30" s="369"/>
      <c r="O30" s="369"/>
      <c r="P30" s="369" t="s">
        <v>383</v>
      </c>
      <c r="Q30" s="369"/>
      <c r="R30" s="369"/>
      <c r="S30" s="369" t="s">
        <v>391</v>
      </c>
      <c r="T30" s="369"/>
      <c r="U30" s="369"/>
      <c r="X30" s="262"/>
    </row>
    <row r="31" spans="2:24" ht="118.5" customHeight="1">
      <c r="B31" s="261"/>
      <c r="E31" s="372" t="s">
        <v>417</v>
      </c>
      <c r="F31" s="373"/>
      <c r="G31" s="368"/>
      <c r="H31" s="368"/>
      <c r="I31" s="368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X31" s="262"/>
    </row>
    <row r="32" spans="2:24" ht="118.5" customHeight="1" thickBot="1">
      <c r="B32" s="261"/>
      <c r="E32" s="374" t="s">
        <v>418</v>
      </c>
      <c r="F32" s="375"/>
      <c r="G32" s="365"/>
      <c r="H32" s="365"/>
      <c r="I32" s="365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X32" s="262"/>
    </row>
    <row r="33" spans="2:24" s="191" customFormat="1" ht="18.75" customHeight="1" thickBot="1">
      <c r="B33" s="264"/>
      <c r="E33" s="376" t="s">
        <v>423</v>
      </c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265"/>
    </row>
    <row r="34" spans="2:24" s="189" customFormat="1" ht="18.75" customHeight="1" thickBot="1">
      <c r="B34" s="266"/>
      <c r="E34" s="267"/>
      <c r="F34" s="212" t="s">
        <v>443</v>
      </c>
      <c r="G34" s="292" t="s">
        <v>442</v>
      </c>
      <c r="H34" s="293" t="s">
        <v>415</v>
      </c>
      <c r="I34" s="294" t="s">
        <v>414</v>
      </c>
      <c r="J34" s="292" t="s">
        <v>442</v>
      </c>
      <c r="K34" s="293" t="s">
        <v>415</v>
      </c>
      <c r="L34" s="294" t="s">
        <v>414</v>
      </c>
      <c r="M34" s="292" t="s">
        <v>442</v>
      </c>
      <c r="N34" s="293" t="s">
        <v>415</v>
      </c>
      <c r="O34" s="294" t="s">
        <v>414</v>
      </c>
      <c r="P34" s="292" t="s">
        <v>442</v>
      </c>
      <c r="Q34" s="293" t="s">
        <v>415</v>
      </c>
      <c r="R34" s="294" t="s">
        <v>414</v>
      </c>
      <c r="S34" s="292" t="s">
        <v>442</v>
      </c>
      <c r="T34" s="293" t="s">
        <v>415</v>
      </c>
      <c r="U34" s="294" t="s">
        <v>414</v>
      </c>
      <c r="V34" s="248" t="s">
        <v>444</v>
      </c>
      <c r="W34" s="249" t="s">
        <v>462</v>
      </c>
      <c r="X34" s="268"/>
    </row>
    <row r="35" spans="2:24" ht="18.75" customHeight="1" thickTop="1">
      <c r="B35" s="261"/>
      <c r="F35" s="201" t="s">
        <v>419</v>
      </c>
      <c r="G35" s="284"/>
      <c r="H35" s="285"/>
      <c r="I35" s="286"/>
      <c r="J35" s="284"/>
      <c r="K35" s="285"/>
      <c r="L35" s="286"/>
      <c r="M35" s="281" t="s">
        <v>390</v>
      </c>
      <c r="N35" s="302">
        <v>0.86</v>
      </c>
      <c r="O35" s="303">
        <v>1.03</v>
      </c>
      <c r="P35" s="281" t="s">
        <v>390</v>
      </c>
      <c r="Q35" s="302">
        <v>0.75</v>
      </c>
      <c r="R35" s="303">
        <v>0.93</v>
      </c>
      <c r="S35" s="281" t="s">
        <v>390</v>
      </c>
      <c r="T35" s="282">
        <v>1.4</v>
      </c>
      <c r="U35" s="283">
        <v>1.64</v>
      </c>
      <c r="V35" s="288">
        <f>IF($G35="使用する",$I35,0)+IF($J35="使用する",$L35,0)+IF($M35="使用する",$O35,0)+IF($P35="使用する",$R35,0)+IF($S35="使用する",$U35,0)</f>
        <v>0</v>
      </c>
      <c r="W35" s="289">
        <f>IF($G35="使用する",$H35,0)+IF($J35="使用する",$K35,0)+IF($M35="使用する",$N35,0)+IF($P35="使用する",$Q35,0)+IF($S35="使用する",$T35,0)</f>
        <v>0</v>
      </c>
      <c r="X35" s="262"/>
    </row>
    <row r="36" spans="2:24" ht="18.75" customHeight="1">
      <c r="B36" s="261"/>
      <c r="F36" s="199" t="s">
        <v>420</v>
      </c>
      <c r="G36" s="193" t="s">
        <v>390</v>
      </c>
      <c r="H36" s="194">
        <v>1.78</v>
      </c>
      <c r="I36" s="279">
        <v>2.31</v>
      </c>
      <c r="J36" s="193" t="s">
        <v>390</v>
      </c>
      <c r="K36" s="194">
        <v>1.59</v>
      </c>
      <c r="L36" s="195">
        <v>2.06</v>
      </c>
      <c r="M36" s="193" t="s">
        <v>390</v>
      </c>
      <c r="N36" s="194">
        <v>1.1000000000000001</v>
      </c>
      <c r="O36" s="195">
        <v>1.52</v>
      </c>
      <c r="P36" s="193" t="s">
        <v>390</v>
      </c>
      <c r="Q36" s="304">
        <v>0.98</v>
      </c>
      <c r="R36" s="305">
        <v>1.34</v>
      </c>
      <c r="S36" s="193" t="s">
        <v>390</v>
      </c>
      <c r="T36" s="194">
        <v>2.82</v>
      </c>
      <c r="U36" s="195">
        <v>3.47</v>
      </c>
      <c r="V36" s="288">
        <f t="shared" ref="V36:V39" si="0">IF($G36="使用する",$I36,0)+IF($J36="使用する",$L36,0)+IF($M36="使用する",$O36,0)+IF($P36="使用する",$R36,0)+IF($S36="使用する",$U36,0)</f>
        <v>0</v>
      </c>
      <c r="W36" s="289">
        <f t="shared" ref="W36:W39" si="1">IF($G36="使用する",$H36,0)+IF($J36="使用する",$K36,0)+IF($M36="使用する",$N36,0)+IF($P36="使用する",$Q36,0)+IF($S36="使用する",$T36,0)</f>
        <v>0</v>
      </c>
      <c r="X36" s="262"/>
    </row>
    <row r="37" spans="2:24" ht="18.75" customHeight="1">
      <c r="B37" s="261"/>
      <c r="F37" s="199" t="s">
        <v>384</v>
      </c>
      <c r="G37" s="193" t="s">
        <v>390</v>
      </c>
      <c r="H37" s="194">
        <v>9.35</v>
      </c>
      <c r="I37" s="279">
        <v>11.4</v>
      </c>
      <c r="J37" s="193" t="s">
        <v>390</v>
      </c>
      <c r="K37" s="194">
        <v>8.25</v>
      </c>
      <c r="L37" s="195">
        <v>10.1</v>
      </c>
      <c r="M37" s="193" t="s">
        <v>390</v>
      </c>
      <c r="N37" s="194">
        <v>5.3</v>
      </c>
      <c r="O37" s="195">
        <v>7.03</v>
      </c>
      <c r="P37" s="193" t="s">
        <v>390</v>
      </c>
      <c r="Q37" s="194">
        <v>4.5999999999999996</v>
      </c>
      <c r="R37" s="195">
        <v>6.21</v>
      </c>
      <c r="S37" s="193" t="s">
        <v>390</v>
      </c>
      <c r="T37" s="194">
        <v>9.26</v>
      </c>
      <c r="U37" s="195">
        <v>11.4</v>
      </c>
      <c r="V37" s="288">
        <f t="shared" si="0"/>
        <v>0</v>
      </c>
      <c r="W37" s="289">
        <f t="shared" si="1"/>
        <v>0</v>
      </c>
      <c r="X37" s="262"/>
    </row>
    <row r="38" spans="2:24" ht="18.75" customHeight="1">
      <c r="B38" s="261"/>
      <c r="F38" s="199" t="s">
        <v>385</v>
      </c>
      <c r="G38" s="193" t="s">
        <v>390</v>
      </c>
      <c r="H38" s="194">
        <v>29.5</v>
      </c>
      <c r="I38" s="279">
        <v>36.9</v>
      </c>
      <c r="J38" s="193" t="s">
        <v>390</v>
      </c>
      <c r="K38" s="194">
        <v>19.2</v>
      </c>
      <c r="L38" s="195">
        <v>25.6</v>
      </c>
      <c r="M38" s="202"/>
      <c r="N38" s="203"/>
      <c r="O38" s="204"/>
      <c r="P38" s="202"/>
      <c r="Q38" s="203"/>
      <c r="R38" s="204"/>
      <c r="S38" s="193" t="s">
        <v>390</v>
      </c>
      <c r="T38" s="194">
        <v>22.7</v>
      </c>
      <c r="U38" s="195">
        <v>29.9</v>
      </c>
      <c r="V38" s="288">
        <f t="shared" si="0"/>
        <v>0</v>
      </c>
      <c r="W38" s="289">
        <f t="shared" si="1"/>
        <v>0</v>
      </c>
      <c r="X38" s="262"/>
    </row>
    <row r="39" spans="2:24" ht="18.75" customHeight="1" thickBot="1">
      <c r="B39" s="261"/>
      <c r="F39" s="200" t="s">
        <v>386</v>
      </c>
      <c r="G39" s="196" t="s">
        <v>390</v>
      </c>
      <c r="H39" s="197">
        <v>58</v>
      </c>
      <c r="I39" s="280">
        <v>82.6</v>
      </c>
      <c r="J39" s="196" t="s">
        <v>390</v>
      </c>
      <c r="K39" s="197">
        <v>50.9</v>
      </c>
      <c r="L39" s="198">
        <v>72.5</v>
      </c>
      <c r="M39" s="205"/>
      <c r="N39" s="206"/>
      <c r="O39" s="207"/>
      <c r="P39" s="287"/>
      <c r="Q39" s="206"/>
      <c r="R39" s="207"/>
      <c r="S39" s="196" t="s">
        <v>390</v>
      </c>
      <c r="T39" s="197">
        <v>73.7</v>
      </c>
      <c r="U39" s="198">
        <v>98.8</v>
      </c>
      <c r="V39" s="290">
        <f t="shared" si="0"/>
        <v>0</v>
      </c>
      <c r="W39" s="291">
        <f t="shared" si="1"/>
        <v>0</v>
      </c>
      <c r="X39" s="262"/>
    </row>
    <row r="40" spans="2:24" s="191" customFormat="1" ht="18.75" customHeight="1" thickBot="1">
      <c r="B40" s="264"/>
      <c r="E40" s="376" t="s">
        <v>422</v>
      </c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265"/>
    </row>
    <row r="41" spans="2:24" s="189" customFormat="1" ht="18.75" customHeight="1" thickBot="1">
      <c r="B41" s="266"/>
      <c r="E41" s="269"/>
      <c r="F41" s="212" t="s">
        <v>443</v>
      </c>
      <c r="G41" s="292" t="s">
        <v>442</v>
      </c>
      <c r="H41" s="293" t="s">
        <v>415</v>
      </c>
      <c r="I41" s="294" t="s">
        <v>414</v>
      </c>
      <c r="J41" s="292" t="s">
        <v>442</v>
      </c>
      <c r="K41" s="293" t="s">
        <v>415</v>
      </c>
      <c r="L41" s="294" t="s">
        <v>414</v>
      </c>
      <c r="M41" s="292" t="s">
        <v>442</v>
      </c>
      <c r="N41" s="293" t="s">
        <v>415</v>
      </c>
      <c r="O41" s="294" t="s">
        <v>414</v>
      </c>
      <c r="P41" s="292" t="s">
        <v>442</v>
      </c>
      <c r="Q41" s="293" t="s">
        <v>415</v>
      </c>
      <c r="R41" s="294" t="s">
        <v>414</v>
      </c>
      <c r="S41" s="292" t="s">
        <v>442</v>
      </c>
      <c r="T41" s="293" t="s">
        <v>415</v>
      </c>
      <c r="U41" s="294" t="s">
        <v>414</v>
      </c>
      <c r="V41" s="248" t="s">
        <v>444</v>
      </c>
      <c r="W41" s="249" t="s">
        <v>462</v>
      </c>
      <c r="X41" s="268"/>
    </row>
    <row r="42" spans="2:24" ht="18.75" customHeight="1" thickTop="1">
      <c r="B42" s="261"/>
      <c r="F42" s="208" t="s">
        <v>421</v>
      </c>
      <c r="G42" s="209" t="s">
        <v>390</v>
      </c>
      <c r="H42" s="214">
        <v>4.83</v>
      </c>
      <c r="I42" s="215">
        <v>5.94</v>
      </c>
      <c r="J42" s="209" t="s">
        <v>390</v>
      </c>
      <c r="K42" s="214">
        <v>3.93</v>
      </c>
      <c r="L42" s="215">
        <v>4.9000000000000004</v>
      </c>
      <c r="M42" s="213"/>
      <c r="N42" s="216"/>
      <c r="O42" s="217"/>
      <c r="P42" s="213"/>
      <c r="Q42" s="216"/>
      <c r="R42" s="217"/>
      <c r="S42" s="209" t="s">
        <v>390</v>
      </c>
      <c r="T42" s="214">
        <v>7.18</v>
      </c>
      <c r="U42" s="215">
        <v>8.3699999999999992</v>
      </c>
      <c r="V42" s="250">
        <f>IF($G42="使用する",$I42,0)+IF($J42="使用する",$L42,0)+IF($M42="使用する",$O42,0)+IF($P42="使用する",$R42,0)+IF($S42="使用する",$U42,0)</f>
        <v>0</v>
      </c>
      <c r="W42" s="251">
        <f>IF($G42="使用する",$H42,0)+IF($J42="使用する",$K42,0)+IF($M42="使用する",$N42,0)+IF($P42="使用する",$Q42,0)+IF($S42="使用する",$T42,0)</f>
        <v>0</v>
      </c>
      <c r="X42" s="262"/>
    </row>
    <row r="43" spans="2:24" ht="18.75" customHeight="1">
      <c r="B43" s="261"/>
      <c r="F43" s="210" t="s">
        <v>387</v>
      </c>
      <c r="G43" s="193" t="s">
        <v>390</v>
      </c>
      <c r="H43" s="194">
        <v>10.7</v>
      </c>
      <c r="I43" s="195">
        <v>14.4</v>
      </c>
      <c r="J43" s="193" t="s">
        <v>390</v>
      </c>
      <c r="K43" s="194">
        <v>8.41</v>
      </c>
      <c r="L43" s="195">
        <v>11.5</v>
      </c>
      <c r="M43" s="202"/>
      <c r="N43" s="203"/>
      <c r="O43" s="204"/>
      <c r="P43" s="202"/>
      <c r="Q43" s="203"/>
      <c r="R43" s="204"/>
      <c r="S43" s="193" t="s">
        <v>390</v>
      </c>
      <c r="T43" s="194">
        <v>15.4</v>
      </c>
      <c r="U43" s="195">
        <v>19.3</v>
      </c>
      <c r="V43" s="250">
        <f t="shared" ref="V43:V44" si="2">IF($G43="使用する",$I43,0)+IF($J43="使用する",$L43,0)+IF($M43="使用する",$O43,0)+IF($P43="使用する",$R43,0)+IF($S43="使用する",$U43,0)</f>
        <v>0</v>
      </c>
      <c r="W43" s="251">
        <f t="shared" ref="W43:W44" si="3">IF($G43="使用する",$H43,0)+IF($J43="使用する",$K43,0)+IF($M43="使用する",$N43,0)+IF($P43="使用する",$Q43,0)+IF($S43="使用する",$T43,0)</f>
        <v>0</v>
      </c>
      <c r="X43" s="262"/>
    </row>
    <row r="44" spans="2:24" ht="18.75" customHeight="1" thickBot="1">
      <c r="B44" s="261"/>
      <c r="F44" s="211" t="s">
        <v>388</v>
      </c>
      <c r="G44" s="196" t="s">
        <v>390</v>
      </c>
      <c r="H44" s="197">
        <v>22.7</v>
      </c>
      <c r="I44" s="198">
        <v>35.200000000000003</v>
      </c>
      <c r="J44" s="196" t="s">
        <v>390</v>
      </c>
      <c r="K44" s="197">
        <v>17.399999999999999</v>
      </c>
      <c r="L44" s="198">
        <v>28.2</v>
      </c>
      <c r="M44" s="205"/>
      <c r="N44" s="206"/>
      <c r="O44" s="207"/>
      <c r="P44" s="205"/>
      <c r="Q44" s="206"/>
      <c r="R44" s="207"/>
      <c r="S44" s="196" t="s">
        <v>390</v>
      </c>
      <c r="T44" s="197">
        <v>33.5</v>
      </c>
      <c r="U44" s="198">
        <v>47.1</v>
      </c>
      <c r="V44" s="252">
        <f t="shared" si="2"/>
        <v>0</v>
      </c>
      <c r="W44" s="253">
        <f t="shared" si="3"/>
        <v>0</v>
      </c>
      <c r="X44" s="262"/>
    </row>
    <row r="45" spans="2:24" ht="18.75" customHeight="1" thickBot="1">
      <c r="B45" s="261"/>
      <c r="E45" s="277" t="s">
        <v>424</v>
      </c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8"/>
      <c r="X45" s="262"/>
    </row>
    <row r="46" spans="2:24" s="189" customFormat="1" ht="18.75" customHeight="1" thickBot="1">
      <c r="B46" s="266"/>
      <c r="E46" s="269"/>
      <c r="F46" s="212" t="s">
        <v>443</v>
      </c>
      <c r="G46" s="292" t="s">
        <v>442</v>
      </c>
      <c r="H46" s="293" t="s">
        <v>415</v>
      </c>
      <c r="I46" s="294" t="s">
        <v>414</v>
      </c>
      <c r="J46" s="292" t="s">
        <v>442</v>
      </c>
      <c r="K46" s="293" t="s">
        <v>415</v>
      </c>
      <c r="L46" s="294" t="s">
        <v>414</v>
      </c>
      <c r="M46" s="292" t="s">
        <v>442</v>
      </c>
      <c r="N46" s="293" t="s">
        <v>415</v>
      </c>
      <c r="O46" s="294" t="s">
        <v>414</v>
      </c>
      <c r="P46" s="292" t="s">
        <v>442</v>
      </c>
      <c r="Q46" s="293" t="s">
        <v>415</v>
      </c>
      <c r="R46" s="294" t="s">
        <v>414</v>
      </c>
      <c r="S46" s="292" t="s">
        <v>442</v>
      </c>
      <c r="T46" s="293" t="s">
        <v>415</v>
      </c>
      <c r="U46" s="294" t="s">
        <v>414</v>
      </c>
      <c r="V46" s="248" t="s">
        <v>444</v>
      </c>
      <c r="W46" s="249" t="s">
        <v>462</v>
      </c>
      <c r="X46" s="268"/>
    </row>
    <row r="47" spans="2:24" ht="18.75" customHeight="1" thickTop="1">
      <c r="B47" s="261"/>
      <c r="E47" s="189"/>
      <c r="F47" s="208" t="s">
        <v>421</v>
      </c>
      <c r="G47" s="209" t="s">
        <v>390</v>
      </c>
      <c r="H47" s="214">
        <v>2.33</v>
      </c>
      <c r="I47" s="215">
        <v>3.75</v>
      </c>
      <c r="J47" s="213"/>
      <c r="K47" s="216"/>
      <c r="L47" s="217"/>
      <c r="M47" s="213"/>
      <c r="N47" s="216"/>
      <c r="O47" s="217"/>
      <c r="P47" s="213"/>
      <c r="Q47" s="216"/>
      <c r="R47" s="217"/>
      <c r="S47" s="213"/>
      <c r="T47" s="216"/>
      <c r="U47" s="217"/>
      <c r="V47" s="250">
        <f>IF($G47="使用する",$I47,0)+IF($J47="使用する",$L47,0)+IF($M47="使用する",$O47,0)+IF($P47="使用する",$R47,0)+IF($S47="使用する",$U47,0)</f>
        <v>0</v>
      </c>
      <c r="W47" s="251">
        <f>IF($G47="使用する",$H47,0)+IF($J47="使用する",$K47,0)+IF($M47="使用する",$N47,0)+IF($P47="使用する",$Q47,0)+IF($S47="使用する",$T47,0)</f>
        <v>0</v>
      </c>
      <c r="X47" s="262"/>
    </row>
    <row r="48" spans="2:24" ht="18.75" customHeight="1">
      <c r="B48" s="261"/>
      <c r="E48" s="189"/>
      <c r="F48" s="210" t="s">
        <v>387</v>
      </c>
      <c r="G48" s="193" t="s">
        <v>390</v>
      </c>
      <c r="H48" s="194">
        <v>5.15</v>
      </c>
      <c r="I48" s="195">
        <v>9.86</v>
      </c>
      <c r="J48" s="202"/>
      <c r="K48" s="203"/>
      <c r="L48" s="204"/>
      <c r="M48" s="202"/>
      <c r="N48" s="203"/>
      <c r="O48" s="204"/>
      <c r="P48" s="202"/>
      <c r="Q48" s="203"/>
      <c r="R48" s="204"/>
      <c r="S48" s="202"/>
      <c r="T48" s="203"/>
      <c r="U48" s="204"/>
      <c r="V48" s="250">
        <f t="shared" ref="V48:V49" si="4">IF($G48="使用する",$I48,0)+IF($J48="使用する",$L48,0)+IF($M48="使用する",$O48,0)+IF($P48="使用する",$R48,0)+IF($S48="使用する",$U48,0)</f>
        <v>0</v>
      </c>
      <c r="W48" s="251">
        <f t="shared" ref="W48:W49" si="5">IF($G48="使用する",$H48,0)+IF($J48="使用する",$K48,0)+IF($M48="使用する",$N48,0)+IF($P48="使用する",$Q48,0)+IF($S48="使用する",$T48,0)</f>
        <v>0</v>
      </c>
      <c r="X48" s="262"/>
    </row>
    <row r="49" spans="2:24" ht="18.75" customHeight="1" thickBot="1">
      <c r="B49" s="261"/>
      <c r="E49" s="189"/>
      <c r="F49" s="211" t="s">
        <v>388</v>
      </c>
      <c r="G49" s="196" t="s">
        <v>390</v>
      </c>
      <c r="H49" s="197">
        <v>11.5</v>
      </c>
      <c r="I49" s="198">
        <v>27.9</v>
      </c>
      <c r="J49" s="205"/>
      <c r="K49" s="206"/>
      <c r="L49" s="207"/>
      <c r="M49" s="205"/>
      <c r="N49" s="206"/>
      <c r="O49" s="207"/>
      <c r="P49" s="205"/>
      <c r="Q49" s="206"/>
      <c r="R49" s="207"/>
      <c r="S49" s="205"/>
      <c r="T49" s="206"/>
      <c r="U49" s="207"/>
      <c r="V49" s="252">
        <f t="shared" si="4"/>
        <v>0</v>
      </c>
      <c r="W49" s="253">
        <f t="shared" si="5"/>
        <v>0</v>
      </c>
      <c r="X49" s="262"/>
    </row>
    <row r="50" spans="2:24" ht="18.75" customHeight="1" thickBot="1">
      <c r="B50" s="261"/>
      <c r="E50" s="376" t="s">
        <v>425</v>
      </c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X50" s="262"/>
    </row>
    <row r="51" spans="2:24" s="189" customFormat="1" ht="18.75" customHeight="1" thickBot="1">
      <c r="B51" s="266"/>
      <c r="E51" s="269"/>
      <c r="F51" s="212" t="s">
        <v>443</v>
      </c>
      <c r="G51" s="292" t="s">
        <v>442</v>
      </c>
      <c r="H51" s="293" t="s">
        <v>415</v>
      </c>
      <c r="I51" s="294" t="s">
        <v>414</v>
      </c>
      <c r="J51" s="292" t="s">
        <v>442</v>
      </c>
      <c r="K51" s="293" t="s">
        <v>415</v>
      </c>
      <c r="L51" s="294" t="s">
        <v>414</v>
      </c>
      <c r="M51" s="292" t="s">
        <v>442</v>
      </c>
      <c r="N51" s="293" t="s">
        <v>415</v>
      </c>
      <c r="O51" s="294" t="s">
        <v>414</v>
      </c>
      <c r="P51" s="292" t="s">
        <v>442</v>
      </c>
      <c r="Q51" s="293" t="s">
        <v>415</v>
      </c>
      <c r="R51" s="294" t="s">
        <v>414</v>
      </c>
      <c r="S51" s="292" t="s">
        <v>442</v>
      </c>
      <c r="T51" s="293" t="s">
        <v>415</v>
      </c>
      <c r="U51" s="294" t="s">
        <v>414</v>
      </c>
      <c r="V51" s="248" t="s">
        <v>444</v>
      </c>
      <c r="W51" s="249" t="s">
        <v>462</v>
      </c>
      <c r="X51" s="268"/>
    </row>
    <row r="52" spans="2:24" ht="18.75" customHeight="1" thickTop="1">
      <c r="B52" s="261"/>
      <c r="E52" s="189"/>
      <c r="F52" s="208" t="s">
        <v>421</v>
      </c>
      <c r="G52" s="209" t="s">
        <v>390</v>
      </c>
      <c r="H52" s="214">
        <v>0.02</v>
      </c>
      <c r="I52" s="215">
        <v>0.02</v>
      </c>
      <c r="J52" s="213"/>
      <c r="K52" s="216"/>
      <c r="L52" s="217"/>
      <c r="M52" s="213"/>
      <c r="N52" s="216"/>
      <c r="O52" s="217"/>
      <c r="P52" s="213"/>
      <c r="Q52" s="216"/>
      <c r="R52" s="217"/>
      <c r="S52" s="209" t="s">
        <v>390</v>
      </c>
      <c r="T52" s="214">
        <v>0.03</v>
      </c>
      <c r="U52" s="215">
        <v>0.03</v>
      </c>
      <c r="V52" s="250">
        <f>IF($G52="使用する",$I52,0)+IF($J52="使用する",$L52,0)+IF($M52="使用する",$O52,0)+IF($P52="使用する",$R52,0)+IF($S52="使用する",$U52,0)</f>
        <v>0</v>
      </c>
      <c r="W52" s="251">
        <f>IF($G52="使用する",$H52,0)+IF($J52="使用する",$K52,0)+IF($M52="使用する",$N52,0)+IF($P52="使用する",$Q52,0)+IF($S52="使用する",$T52,0)</f>
        <v>0</v>
      </c>
      <c r="X52" s="262"/>
    </row>
    <row r="53" spans="2:24" ht="18.75" customHeight="1">
      <c r="B53" s="261"/>
      <c r="E53" s="189"/>
      <c r="F53" s="210" t="s">
        <v>387</v>
      </c>
      <c r="G53" s="193" t="s">
        <v>390</v>
      </c>
      <c r="H53" s="194">
        <v>0.04</v>
      </c>
      <c r="I53" s="195">
        <v>0.05</v>
      </c>
      <c r="J53" s="202"/>
      <c r="K53" s="203"/>
      <c r="L53" s="204"/>
      <c r="M53" s="202"/>
      <c r="N53" s="203"/>
      <c r="O53" s="204"/>
      <c r="P53" s="202"/>
      <c r="Q53" s="203"/>
      <c r="R53" s="204"/>
      <c r="S53" s="193" t="s">
        <v>390</v>
      </c>
      <c r="T53" s="194">
        <v>6.0000000000000005E-2</v>
      </c>
      <c r="U53" s="195">
        <v>7.0000000000000007E-2</v>
      </c>
      <c r="V53" s="250">
        <f t="shared" ref="V53:V54" si="6">IF($G53="使用する",$I53,0)+IF($J53="使用する",$L53,0)+IF($M53="使用する",$O53,0)+IF($P53="使用する",$R53,0)+IF($S53="使用する",$U53,0)</f>
        <v>0</v>
      </c>
      <c r="W53" s="251">
        <f t="shared" ref="W53:W54" si="7">IF($G53="使用する",$H53,0)+IF($J53="使用する",$K53,0)+IF($M53="使用する",$N53,0)+IF($P53="使用する",$Q53,0)+IF($S53="使用する",$T53,0)</f>
        <v>0</v>
      </c>
      <c r="X53" s="262"/>
    </row>
    <row r="54" spans="2:24" ht="18.75" customHeight="1" thickBot="1">
      <c r="B54" s="261"/>
      <c r="E54" s="189"/>
      <c r="F54" s="211" t="s">
        <v>388</v>
      </c>
      <c r="G54" s="196" t="s">
        <v>390</v>
      </c>
      <c r="H54" s="197">
        <v>0.09</v>
      </c>
      <c r="I54" s="198">
        <v>0.1</v>
      </c>
      <c r="J54" s="205"/>
      <c r="K54" s="206"/>
      <c r="L54" s="207"/>
      <c r="M54" s="205"/>
      <c r="N54" s="206"/>
      <c r="O54" s="207"/>
      <c r="P54" s="205"/>
      <c r="Q54" s="206"/>
      <c r="R54" s="207"/>
      <c r="S54" s="196" t="s">
        <v>390</v>
      </c>
      <c r="T54" s="197">
        <v>0.13</v>
      </c>
      <c r="U54" s="198">
        <v>0.14000000000000001</v>
      </c>
      <c r="V54" s="252">
        <f t="shared" si="6"/>
        <v>0</v>
      </c>
      <c r="W54" s="253">
        <f t="shared" si="7"/>
        <v>0</v>
      </c>
      <c r="X54" s="262"/>
    </row>
    <row r="55" spans="2:24" ht="18.75" customHeight="1" thickBot="1">
      <c r="B55" s="261"/>
      <c r="E55" s="376" t="s">
        <v>426</v>
      </c>
      <c r="F55" s="376"/>
      <c r="G55" s="376"/>
      <c r="H55" s="376"/>
      <c r="I55" s="376"/>
      <c r="J55" s="376"/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6"/>
      <c r="V55" s="376"/>
      <c r="X55" s="262"/>
    </row>
    <row r="56" spans="2:24" s="189" customFormat="1" ht="18.75" customHeight="1" thickBot="1">
      <c r="B56" s="266"/>
      <c r="E56" s="269"/>
      <c r="F56" s="212" t="s">
        <v>443</v>
      </c>
      <c r="G56" s="292" t="s">
        <v>442</v>
      </c>
      <c r="H56" s="293" t="s">
        <v>415</v>
      </c>
      <c r="I56" s="294" t="s">
        <v>414</v>
      </c>
      <c r="J56" s="292" t="s">
        <v>442</v>
      </c>
      <c r="K56" s="293" t="s">
        <v>415</v>
      </c>
      <c r="L56" s="294" t="s">
        <v>414</v>
      </c>
      <c r="M56" s="292" t="s">
        <v>442</v>
      </c>
      <c r="N56" s="293" t="s">
        <v>415</v>
      </c>
      <c r="O56" s="294" t="s">
        <v>414</v>
      </c>
      <c r="P56" s="292" t="s">
        <v>442</v>
      </c>
      <c r="Q56" s="293" t="s">
        <v>415</v>
      </c>
      <c r="R56" s="294" t="s">
        <v>414</v>
      </c>
      <c r="S56" s="292" t="s">
        <v>442</v>
      </c>
      <c r="T56" s="293" t="s">
        <v>415</v>
      </c>
      <c r="U56" s="294" t="s">
        <v>414</v>
      </c>
      <c r="V56" s="248" t="s">
        <v>444</v>
      </c>
      <c r="W56" s="249" t="s">
        <v>462</v>
      </c>
      <c r="X56" s="268"/>
    </row>
    <row r="57" spans="2:24" ht="18.75" customHeight="1" thickTop="1">
      <c r="B57" s="261"/>
      <c r="E57" s="189"/>
      <c r="F57" s="208" t="s">
        <v>421</v>
      </c>
      <c r="G57" s="209" t="s">
        <v>390</v>
      </c>
      <c r="H57" s="214">
        <v>11</v>
      </c>
      <c r="I57" s="215">
        <v>14.7</v>
      </c>
      <c r="J57" s="213"/>
      <c r="K57" s="216"/>
      <c r="L57" s="217"/>
      <c r="M57" s="213"/>
      <c r="N57" s="216"/>
      <c r="O57" s="217"/>
      <c r="P57" s="213"/>
      <c r="Q57" s="216"/>
      <c r="R57" s="217"/>
      <c r="S57" s="209" t="s">
        <v>390</v>
      </c>
      <c r="T57" s="214">
        <v>13</v>
      </c>
      <c r="U57" s="215">
        <v>16.899999999999999</v>
      </c>
      <c r="V57" s="250">
        <f>IF($G57="使用する",$I57,0)+IF($J57="使用する",$L57,0)+IF($M57="使用する",$O57,0)+IF($P57="使用する",$R57,0)+IF($S57="使用する",$U57,0)</f>
        <v>0</v>
      </c>
      <c r="W57" s="251">
        <f>IF($G57="使用する",$H57,0)+IF($J57="使用する",$K57,0)+IF($M57="使用する",$N57,0)+IF($P57="使用する",$Q57,0)+IF($S57="使用する",$T57,0)</f>
        <v>0</v>
      </c>
      <c r="X57" s="262"/>
    </row>
    <row r="58" spans="2:24" ht="18.75" customHeight="1">
      <c r="B58" s="261"/>
      <c r="E58" s="189"/>
      <c r="F58" s="210" t="s">
        <v>387</v>
      </c>
      <c r="G58" s="193" t="s">
        <v>390</v>
      </c>
      <c r="H58" s="194">
        <v>23.5</v>
      </c>
      <c r="I58" s="195">
        <v>34.4</v>
      </c>
      <c r="J58" s="202"/>
      <c r="K58" s="203"/>
      <c r="L58" s="204"/>
      <c r="M58" s="202"/>
      <c r="N58" s="203"/>
      <c r="O58" s="204"/>
      <c r="P58" s="202"/>
      <c r="Q58" s="203"/>
      <c r="R58" s="204"/>
      <c r="S58" s="193" t="s">
        <v>390</v>
      </c>
      <c r="T58" s="194">
        <v>27.6</v>
      </c>
      <c r="U58" s="195">
        <v>39</v>
      </c>
      <c r="V58" s="250">
        <f t="shared" ref="V58:V59" si="8">IF($G58="使用する",$I58,0)+IF($J58="使用する",$L58,0)+IF($M58="使用する",$O58,0)+IF($P58="使用する",$R58,0)+IF($S58="使用する",$U58,0)</f>
        <v>0</v>
      </c>
      <c r="W58" s="251">
        <f t="shared" ref="W58:W59" si="9">IF($G58="使用する",$H58,0)+IF($J58="使用する",$K58,0)+IF($M58="使用する",$N58,0)+IF($P58="使用する",$Q58,0)+IF($S58="使用する",$T58,0)</f>
        <v>0</v>
      </c>
      <c r="X58" s="262"/>
    </row>
    <row r="59" spans="2:24" ht="18.75" customHeight="1" thickBot="1">
      <c r="B59" s="261"/>
      <c r="E59" s="189"/>
      <c r="F59" s="211" t="s">
        <v>388</v>
      </c>
      <c r="G59" s="205"/>
      <c r="H59" s="206"/>
      <c r="I59" s="207"/>
      <c r="J59" s="205"/>
      <c r="K59" s="206"/>
      <c r="L59" s="207"/>
      <c r="M59" s="205"/>
      <c r="N59" s="206"/>
      <c r="O59" s="207"/>
      <c r="P59" s="205"/>
      <c r="Q59" s="206"/>
      <c r="R59" s="207"/>
      <c r="S59" s="196" t="s">
        <v>390</v>
      </c>
      <c r="T59" s="197">
        <v>59</v>
      </c>
      <c r="U59" s="198">
        <v>93.6</v>
      </c>
      <c r="V59" s="252">
        <f t="shared" si="8"/>
        <v>0</v>
      </c>
      <c r="W59" s="253">
        <f t="shared" si="9"/>
        <v>0</v>
      </c>
      <c r="X59" s="262"/>
    </row>
    <row r="60" spans="2:24" ht="18.75" customHeight="1" thickBot="1">
      <c r="B60" s="261"/>
      <c r="E60" s="376" t="s">
        <v>427</v>
      </c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  <c r="U60" s="376"/>
      <c r="V60" s="376"/>
      <c r="X60" s="262"/>
    </row>
    <row r="61" spans="2:24" s="189" customFormat="1" ht="18.75" customHeight="1" thickBot="1">
      <c r="B61" s="266"/>
      <c r="E61" s="269"/>
      <c r="F61" s="212" t="s">
        <v>443</v>
      </c>
      <c r="G61" s="292" t="s">
        <v>442</v>
      </c>
      <c r="H61" s="293" t="s">
        <v>415</v>
      </c>
      <c r="I61" s="294" t="s">
        <v>414</v>
      </c>
      <c r="J61" s="292" t="s">
        <v>442</v>
      </c>
      <c r="K61" s="293" t="s">
        <v>415</v>
      </c>
      <c r="L61" s="294" t="s">
        <v>414</v>
      </c>
      <c r="M61" s="292" t="s">
        <v>442</v>
      </c>
      <c r="N61" s="293" t="s">
        <v>415</v>
      </c>
      <c r="O61" s="294" t="s">
        <v>414</v>
      </c>
      <c r="P61" s="292" t="s">
        <v>442</v>
      </c>
      <c r="Q61" s="293" t="s">
        <v>415</v>
      </c>
      <c r="R61" s="294" t="s">
        <v>414</v>
      </c>
      <c r="S61" s="292" t="s">
        <v>442</v>
      </c>
      <c r="T61" s="293" t="s">
        <v>415</v>
      </c>
      <c r="U61" s="294" t="s">
        <v>414</v>
      </c>
      <c r="V61" s="248" t="s">
        <v>444</v>
      </c>
      <c r="W61" s="249" t="s">
        <v>462</v>
      </c>
      <c r="X61" s="268"/>
    </row>
    <row r="62" spans="2:24" ht="18.75" customHeight="1" thickTop="1">
      <c r="B62" s="261"/>
      <c r="E62" s="189"/>
      <c r="F62" s="208" t="s">
        <v>421</v>
      </c>
      <c r="G62" s="213"/>
      <c r="H62" s="216"/>
      <c r="I62" s="217"/>
      <c r="J62" s="213"/>
      <c r="K62" s="216"/>
      <c r="L62" s="217"/>
      <c r="M62" s="213"/>
      <c r="N62" s="216"/>
      <c r="O62" s="217"/>
      <c r="P62" s="213"/>
      <c r="Q62" s="216"/>
      <c r="R62" s="217"/>
      <c r="S62" s="209" t="s">
        <v>390</v>
      </c>
      <c r="T62" s="214">
        <v>3.04</v>
      </c>
      <c r="U62" s="215">
        <v>4.59</v>
      </c>
      <c r="V62" s="250">
        <f>IF($G62="使用する",$I62,0)+IF($J62="使用する",$L62,0)+IF($M62="使用する",$O62,0)+IF($P62="使用する",$R62,0)+IF($S62="使用する",$U62,0)</f>
        <v>0</v>
      </c>
      <c r="W62" s="251">
        <f>IF($G62="使用する",$H62,0)+IF($J62="使用する",$K62,0)+IF($M62="使用する",$N62,0)+IF($P62="使用する",$Q62,0)+IF($S62="使用する",$T62,0)</f>
        <v>0</v>
      </c>
      <c r="X62" s="262"/>
    </row>
    <row r="63" spans="2:24" ht="18.75" customHeight="1">
      <c r="B63" s="261"/>
      <c r="E63" s="189"/>
      <c r="F63" s="210" t="s">
        <v>387</v>
      </c>
      <c r="G63" s="202"/>
      <c r="H63" s="203"/>
      <c r="I63" s="204"/>
      <c r="J63" s="202"/>
      <c r="K63" s="203"/>
      <c r="L63" s="204"/>
      <c r="M63" s="202"/>
      <c r="N63" s="203"/>
      <c r="O63" s="204"/>
      <c r="P63" s="202"/>
      <c r="Q63" s="203"/>
      <c r="R63" s="204"/>
      <c r="S63" s="193" t="s">
        <v>390</v>
      </c>
      <c r="T63" s="194">
        <v>1.91</v>
      </c>
      <c r="U63" s="195">
        <v>2.54</v>
      </c>
      <c r="V63" s="250">
        <f t="shared" ref="V63:V64" si="10">IF($G63="使用する",$I63,0)+IF($J63="使用する",$L63,0)+IF($M63="使用する",$O63,0)+IF($P63="使用する",$R63,0)+IF($S63="使用する",$U63,0)</f>
        <v>0</v>
      </c>
      <c r="W63" s="251">
        <f t="shared" ref="W63:W64" si="11">IF($G63="使用する",$H63,0)+IF($J63="使用する",$K63,0)+IF($M63="使用する",$N63,0)+IF($P63="使用する",$Q63,0)+IF($S63="使用する",$T63,0)</f>
        <v>0</v>
      </c>
      <c r="X63" s="262"/>
    </row>
    <row r="64" spans="2:24" ht="18.75" customHeight="1" thickBot="1">
      <c r="B64" s="261"/>
      <c r="E64" s="189"/>
      <c r="F64" s="211" t="s">
        <v>388</v>
      </c>
      <c r="G64" s="205"/>
      <c r="H64" s="206"/>
      <c r="I64" s="207"/>
      <c r="J64" s="205"/>
      <c r="K64" s="206"/>
      <c r="L64" s="207"/>
      <c r="M64" s="205"/>
      <c r="N64" s="206"/>
      <c r="O64" s="207"/>
      <c r="P64" s="205"/>
      <c r="Q64" s="206"/>
      <c r="R64" s="207"/>
      <c r="S64" s="196" t="s">
        <v>390</v>
      </c>
      <c r="T64" s="197">
        <v>4.03</v>
      </c>
      <c r="U64" s="198">
        <v>5.83</v>
      </c>
      <c r="V64" s="252">
        <f t="shared" si="10"/>
        <v>0</v>
      </c>
      <c r="W64" s="253">
        <f t="shared" si="11"/>
        <v>0</v>
      </c>
      <c r="X64" s="262"/>
    </row>
    <row r="65" spans="2:24" ht="18" customHeight="1">
      <c r="B65" s="261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X65" s="262"/>
    </row>
    <row r="66" spans="2:24" ht="25.2" thickBot="1">
      <c r="B66" s="261"/>
      <c r="E66" s="263" t="s">
        <v>431</v>
      </c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X66" s="262"/>
    </row>
    <row r="67" spans="2:24" ht="19.5" customHeight="1">
      <c r="B67" s="261"/>
      <c r="F67" s="389" t="s">
        <v>442</v>
      </c>
      <c r="G67" s="388" t="s">
        <v>430</v>
      </c>
      <c r="H67" s="381"/>
      <c r="I67" s="382"/>
      <c r="J67" s="388" t="s">
        <v>428</v>
      </c>
      <c r="K67" s="381"/>
      <c r="L67" s="382"/>
      <c r="M67" s="388" t="s">
        <v>429</v>
      </c>
      <c r="N67" s="381"/>
      <c r="O67" s="382"/>
      <c r="V67" s="358" t="s">
        <v>444</v>
      </c>
      <c r="W67" s="358" t="s">
        <v>462</v>
      </c>
      <c r="X67" s="262"/>
    </row>
    <row r="68" spans="2:24" ht="19.5" customHeight="1" thickBot="1">
      <c r="B68" s="261"/>
      <c r="F68" s="390"/>
      <c r="G68" s="222" t="s">
        <v>441</v>
      </c>
      <c r="H68" s="220" t="s">
        <v>415</v>
      </c>
      <c r="I68" s="221" t="s">
        <v>414</v>
      </c>
      <c r="J68" s="222" t="s">
        <v>441</v>
      </c>
      <c r="K68" s="220" t="s">
        <v>415</v>
      </c>
      <c r="L68" s="221" t="s">
        <v>414</v>
      </c>
      <c r="M68" s="222" t="s">
        <v>441</v>
      </c>
      <c r="N68" s="220" t="s">
        <v>415</v>
      </c>
      <c r="O68" s="221" t="s">
        <v>414</v>
      </c>
      <c r="V68" s="359"/>
      <c r="W68" s="359"/>
      <c r="X68" s="262"/>
    </row>
    <row r="69" spans="2:24" ht="19.5" customHeight="1" thickTop="1" thickBot="1">
      <c r="B69" s="261"/>
      <c r="F69" s="218" t="s">
        <v>390</v>
      </c>
      <c r="G69" s="223" t="s">
        <v>441</v>
      </c>
      <c r="H69" s="301">
        <v>73.3</v>
      </c>
      <c r="I69" s="300">
        <v>87</v>
      </c>
      <c r="J69" s="306" t="s">
        <v>441</v>
      </c>
      <c r="K69" s="301">
        <v>0.11</v>
      </c>
      <c r="L69" s="300">
        <v>0.12</v>
      </c>
      <c r="M69" s="306" t="s">
        <v>441</v>
      </c>
      <c r="N69" s="301">
        <v>0.02</v>
      </c>
      <c r="O69" s="300">
        <v>0.02</v>
      </c>
      <c r="V69" s="254">
        <f>IF($F69="使用する",$I69+$L69+$O69,0)</f>
        <v>0</v>
      </c>
      <c r="W69" s="254">
        <f>IF($F69="使用する",$H69+$K69+$N69,0)</f>
        <v>0</v>
      </c>
      <c r="X69" s="262"/>
    </row>
    <row r="70" spans="2:24">
      <c r="B70" s="261"/>
      <c r="X70" s="262"/>
    </row>
    <row r="71" spans="2:24" ht="25.2" thickBot="1">
      <c r="B71" s="261"/>
      <c r="E71" s="263" t="s">
        <v>436</v>
      </c>
      <c r="I71" s="188"/>
      <c r="X71" s="262"/>
    </row>
    <row r="72" spans="2:24" ht="18" customHeight="1">
      <c r="B72" s="261"/>
      <c r="G72" s="377" t="s">
        <v>389</v>
      </c>
      <c r="H72" s="378"/>
      <c r="I72" s="379"/>
      <c r="J72" s="380" t="s">
        <v>437</v>
      </c>
      <c r="K72" s="381"/>
      <c r="L72" s="382"/>
      <c r="V72" s="358" t="s">
        <v>444</v>
      </c>
      <c r="W72" s="358" t="s">
        <v>462</v>
      </c>
      <c r="X72" s="262"/>
    </row>
    <row r="73" spans="2:24" ht="18" customHeight="1" thickBot="1">
      <c r="B73" s="261"/>
      <c r="G73" s="227" t="s">
        <v>442</v>
      </c>
      <c r="H73" s="220" t="s">
        <v>415</v>
      </c>
      <c r="I73" s="221" t="s">
        <v>414</v>
      </c>
      <c r="J73" s="228" t="s">
        <v>442</v>
      </c>
      <c r="K73" s="220" t="s">
        <v>415</v>
      </c>
      <c r="L73" s="221" t="s">
        <v>414</v>
      </c>
      <c r="M73" s="224"/>
      <c r="V73" s="359"/>
      <c r="W73" s="359"/>
      <c r="X73" s="262"/>
    </row>
    <row r="74" spans="2:24" ht="18" customHeight="1" thickTop="1" thickBot="1">
      <c r="B74" s="261"/>
      <c r="G74" s="225" t="s">
        <v>470</v>
      </c>
      <c r="H74" s="301">
        <v>1.81</v>
      </c>
      <c r="I74" s="300">
        <v>2.71</v>
      </c>
      <c r="J74" s="226" t="s">
        <v>390</v>
      </c>
      <c r="K74" s="301">
        <v>50.4</v>
      </c>
      <c r="L74" s="300">
        <v>71.3</v>
      </c>
      <c r="V74" s="254">
        <f>IF($J74="使用する",$L74,IF($G74="使用する",$I74,0))</f>
        <v>0</v>
      </c>
      <c r="W74" s="254">
        <f>IF($J74="使用する",$K74,IF($G74="使用する",$H74,0))</f>
        <v>0</v>
      </c>
      <c r="X74" s="262"/>
    </row>
    <row r="75" spans="2:24" ht="18" customHeight="1">
      <c r="B75" s="261"/>
      <c r="G75" s="188" t="s">
        <v>432</v>
      </c>
      <c r="H75" s="270"/>
      <c r="I75" s="270"/>
      <c r="K75" s="270"/>
      <c r="L75" s="270"/>
      <c r="X75" s="262"/>
    </row>
    <row r="76" spans="2:24">
      <c r="B76" s="261"/>
      <c r="X76" s="262"/>
    </row>
    <row r="77" spans="2:24" ht="25.2" thickBot="1">
      <c r="B77" s="261"/>
      <c r="E77" s="263" t="s">
        <v>435</v>
      </c>
      <c r="X77" s="262"/>
    </row>
    <row r="78" spans="2:24">
      <c r="B78" s="261"/>
      <c r="G78" s="377" t="s">
        <v>433</v>
      </c>
      <c r="H78" s="378"/>
      <c r="I78" s="379"/>
      <c r="J78" s="383" t="s">
        <v>434</v>
      </c>
      <c r="K78" s="384"/>
      <c r="L78" s="385"/>
      <c r="V78" s="358" t="s">
        <v>444</v>
      </c>
      <c r="W78" s="358" t="s">
        <v>462</v>
      </c>
      <c r="X78" s="262"/>
    </row>
    <row r="79" spans="2:24" ht="15.6" thickBot="1">
      <c r="B79" s="261"/>
      <c r="G79" s="227" t="s">
        <v>442</v>
      </c>
      <c r="H79" s="220" t="s">
        <v>415</v>
      </c>
      <c r="I79" s="221" t="s">
        <v>414</v>
      </c>
      <c r="J79" s="228" t="s">
        <v>442</v>
      </c>
      <c r="K79" s="220" t="s">
        <v>415</v>
      </c>
      <c r="L79" s="221" t="s">
        <v>414</v>
      </c>
      <c r="V79" s="359"/>
      <c r="W79" s="359"/>
      <c r="X79" s="262"/>
    </row>
    <row r="80" spans="2:24" ht="16.2" thickTop="1" thickBot="1">
      <c r="B80" s="261"/>
      <c r="G80" s="225" t="s">
        <v>390</v>
      </c>
      <c r="H80" s="301">
        <v>0.37</v>
      </c>
      <c r="I80" s="300">
        <v>0.37</v>
      </c>
      <c r="J80" s="226" t="s">
        <v>390</v>
      </c>
      <c r="K80" s="307">
        <v>0.02</v>
      </c>
      <c r="L80" s="219">
        <v>0.02</v>
      </c>
      <c r="V80" s="255">
        <f>IF($G80="使用する",$I80,0)+IF($J80="使用する",$L80,0)</f>
        <v>0</v>
      </c>
      <c r="W80" s="255">
        <f>IF($G80="使用する",$H80,0)+IF($J80="使用する",$K80,0)</f>
        <v>0</v>
      </c>
      <c r="X80" s="262"/>
    </row>
    <row r="81" spans="2:24">
      <c r="B81" s="261"/>
      <c r="X81" s="262"/>
    </row>
    <row r="82" spans="2:24" ht="15.6" thickBot="1">
      <c r="B82" s="271"/>
      <c r="C82" s="272"/>
      <c r="D82" s="272"/>
      <c r="E82" s="272"/>
      <c r="F82" s="272"/>
      <c r="G82" s="272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2"/>
      <c r="W82" s="272"/>
      <c r="X82" s="274"/>
    </row>
  </sheetData>
  <mergeCells count="60">
    <mergeCell ref="G67:I67"/>
    <mergeCell ref="J67:L67"/>
    <mergeCell ref="M67:O67"/>
    <mergeCell ref="E55:V55"/>
    <mergeCell ref="E60:V60"/>
    <mergeCell ref="F67:F68"/>
    <mergeCell ref="V67:V68"/>
    <mergeCell ref="V72:V73"/>
    <mergeCell ref="V78:V79"/>
    <mergeCell ref="R19:S19"/>
    <mergeCell ref="T19:U19"/>
    <mergeCell ref="G72:I72"/>
    <mergeCell ref="J72:L72"/>
    <mergeCell ref="G78:I78"/>
    <mergeCell ref="J78:L78"/>
    <mergeCell ref="G30:I30"/>
    <mergeCell ref="T22:U22"/>
    <mergeCell ref="T23:U23"/>
    <mergeCell ref="T24:U24"/>
    <mergeCell ref="T25:U25"/>
    <mergeCell ref="E19:L19"/>
    <mergeCell ref="P20:Q20"/>
    <mergeCell ref="R20:S20"/>
    <mergeCell ref="E31:F31"/>
    <mergeCell ref="E32:F32"/>
    <mergeCell ref="E50:V50"/>
    <mergeCell ref="J31:L31"/>
    <mergeCell ref="M31:O31"/>
    <mergeCell ref="P31:R31"/>
    <mergeCell ref="E33:W33"/>
    <mergeCell ref="E40:W40"/>
    <mergeCell ref="T20:U20"/>
    <mergeCell ref="P19:Q19"/>
    <mergeCell ref="T21:U21"/>
    <mergeCell ref="P21:Q21"/>
    <mergeCell ref="R21:S21"/>
    <mergeCell ref="R22:S22"/>
    <mergeCell ref="R23:S23"/>
    <mergeCell ref="R24:S24"/>
    <mergeCell ref="R25:S25"/>
    <mergeCell ref="J30:L30"/>
    <mergeCell ref="M30:O30"/>
    <mergeCell ref="P30:R30"/>
    <mergeCell ref="S30:U30"/>
    <mergeCell ref="W67:W68"/>
    <mergeCell ref="W72:W73"/>
    <mergeCell ref="W78:W79"/>
    <mergeCell ref="G15:H15"/>
    <mergeCell ref="E15:F15"/>
    <mergeCell ref="S31:U31"/>
    <mergeCell ref="G32:I32"/>
    <mergeCell ref="J32:L32"/>
    <mergeCell ref="M32:O32"/>
    <mergeCell ref="P32:R32"/>
    <mergeCell ref="S32:U32"/>
    <mergeCell ref="P22:Q22"/>
    <mergeCell ref="P23:Q23"/>
    <mergeCell ref="P24:Q24"/>
    <mergeCell ref="P25:Q25"/>
    <mergeCell ref="G31:I31"/>
  </mergeCells>
  <phoneticPr fontId="8"/>
  <dataValidations count="2">
    <dataValidation type="list" allowBlank="1" showInputMessage="1" showErrorMessage="1" sqref="S35:S39 M35:M39 J35:J39 G35:G39 P35:P38 G42:G44 J42:J44 M42:M44 P42:P44 S42:S44 G47:G49 J47:J49 M47:M49 P47:P49 S47:S49 J52:J54 G62:G64 J62:J64 M62:M64 P62:P64 J57:J59 M57:M59 P57:P59 P52:P54 M52:M54 G52:G54 S52:S54 S57:S59 S62:S64 G57:G59 F69 G74 J74 G80 J80" xr:uid="{00000000-0002-0000-0200-000000000000}">
      <formula1>仕様選択</formula1>
    </dataValidation>
    <dataValidation type="list" allowBlank="1" showInputMessage="1" showErrorMessage="1" sqref="M20:M25" xr:uid="{00000000-0002-0000-0200-000001000000}">
      <formula1>利用方針</formula1>
    </dataValidation>
  </dataValidations>
  <pageMargins left="0.25" right="0.25" top="0.75" bottom="0.75" header="0.3" footer="0.3"/>
  <pageSetup paperSize="8" scale="73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162B7237-ECBE-4F4D-85EB-FF26E36F6381}"/>
</file>

<file path=customXml/itemProps2.xml><?xml version="1.0" encoding="utf-8"?>
<ds:datastoreItem xmlns:ds="http://schemas.openxmlformats.org/officeDocument/2006/customXml" ds:itemID="{9B4DE803-0591-4630-A6E2-FD51DB5B00FC}"/>
</file>

<file path=customXml/itemProps3.xml><?xml version="1.0" encoding="utf-8"?>
<ds:datastoreItem xmlns:ds="http://schemas.openxmlformats.org/officeDocument/2006/customXml" ds:itemID="{F7008D59-769B-483B-938C-6F1195E2C9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NXグループ経営管理(DBサーバ)</vt:lpstr>
      <vt:lpstr>NXグループ経営管理(分析集計DBサーバ) </vt:lpstr>
      <vt:lpstr>NXグループ経営管理 (APサーバ)</vt:lpstr>
      <vt:lpstr>'NXグループ経営管理 (APサーバ)'!Print_Area</vt:lpstr>
      <vt:lpstr>アーカイブ利用有無</vt:lpstr>
      <vt:lpstr>仕様選択</vt:lpstr>
      <vt:lpstr>入力値単位</vt:lpstr>
      <vt:lpstr>利用方針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2013-08-02T05:53:12Z</dcterms:created>
  <dcterms:modified xsi:type="dcterms:W3CDTF">2026-04-28T07:32:11Z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</Properties>
</file>